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8 Crescent Meadows\"/>
    </mc:Choice>
  </mc:AlternateContent>
  <xr:revisionPtr revIDLastSave="0" documentId="13_ncr:1_{7B545AE1-E5E0-48C9-A89D-A80D59F27F3C}"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Forma'!$A$1:$S$72</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Forma'!$A$1:$S$72</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O635" i="3"/>
  <c r="C635" i="3"/>
  <c r="I949" i="3"/>
  <c r="C46" i="4" l="1"/>
  <c r="AO640" i="3"/>
  <c r="AM561" i="3"/>
  <c r="S45" i="4"/>
  <c r="C56" i="4"/>
  <c r="S49" i="4"/>
  <c r="C49" i="4"/>
  <c r="S46" i="4"/>
  <c r="C45" i="4"/>
  <c r="AO633" i="3" l="1"/>
  <c r="T773" i="3"/>
  <c r="K721" i="3"/>
  <c r="K720" i="3"/>
  <c r="K725" i="3"/>
  <c r="K724" i="3"/>
  <c r="K723" i="3"/>
  <c r="K722" i="3"/>
  <c r="E52" i="4"/>
  <c r="S10" i="4"/>
  <c r="E86" i="4"/>
  <c r="E88" i="4"/>
  <c r="E89" i="4"/>
  <c r="E90" i="4"/>
  <c r="E92" i="4"/>
  <c r="E93" i="4"/>
  <c r="E85" i="4"/>
  <c r="E84" i="4"/>
  <c r="E83" i="4"/>
  <c r="E80" i="4"/>
  <c r="E79" i="4"/>
  <c r="E75" i="4"/>
  <c r="E60" i="4"/>
  <c r="E58" i="4"/>
  <c r="E56" i="4"/>
  <c r="E51" i="4"/>
  <c r="E50" i="4"/>
  <c r="E49" i="4"/>
  <c r="E48" i="4"/>
  <c r="E46" i="4"/>
  <c r="E45" i="4"/>
  <c r="E40" i="4"/>
  <c r="E35" i="4"/>
  <c r="E33" i="4"/>
  <c r="E10" i="4"/>
  <c r="E6" i="4"/>
  <c r="K31" i="4"/>
  <c r="C65" i="4"/>
  <c r="E65" i="4" s="1"/>
  <c r="C69" i="4"/>
  <c r="E69" i="4" s="1"/>
  <c r="C43" i="4"/>
  <c r="E43" i="4" s="1"/>
  <c r="AA949" i="3"/>
  <c r="AA947" i="3"/>
  <c r="I947" i="3"/>
  <c r="AA948" i="3"/>
  <c r="I948" i="3"/>
  <c r="AA941" i="3"/>
  <c r="AA919" i="3"/>
  <c r="AA918" i="3"/>
  <c r="AG442" i="3" l="1"/>
  <c r="AG443" i="3" s="1"/>
  <c r="M633" i="3"/>
  <c r="C633" i="3"/>
  <c r="M630" i="3"/>
  <c r="C630" i="3"/>
  <c r="Q628" i="3"/>
  <c r="M629" i="3"/>
  <c r="M628" i="3"/>
  <c r="C629" i="3"/>
  <c r="C628" i="3"/>
  <c r="W555"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C9" i="7" l="1"/>
  <c r="C5" i="7"/>
  <c r="BA1042" i="3"/>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F29" i="7" s="1"/>
  <c r="G29" i="7" s="1"/>
  <c r="H29" i="7" s="1"/>
  <c r="I29" i="7" s="1"/>
  <c r="J29" i="7" s="1"/>
  <c r="K29" i="7" s="1"/>
  <c r="L29" i="7" s="1"/>
  <c r="M29" i="7" s="1"/>
  <c r="N29" i="7" s="1"/>
  <c r="O29" i="7" s="1"/>
  <c r="P29" i="7" s="1"/>
  <c r="Q29" i="7" s="1"/>
  <c r="R29" i="7" s="1"/>
  <c r="S29" i="7" s="1"/>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F63" i="7"/>
  <c r="G63" i="7" s="1"/>
  <c r="H63" i="7" s="1"/>
  <c r="I63" i="7" s="1"/>
  <c r="J63" i="7" s="1"/>
  <c r="K63" i="7" s="1"/>
  <c r="L63" i="7" s="1"/>
  <c r="M63" i="7" s="1"/>
  <c r="N63" i="7" s="1"/>
  <c r="O63" i="7" s="1"/>
  <c r="P63" i="7" s="1"/>
  <c r="Q63" i="7" s="1"/>
  <c r="R63" i="7" s="1"/>
  <c r="S63" i="7" s="1"/>
  <c r="F64" i="7"/>
  <c r="G64" i="7" s="1"/>
  <c r="H64" i="7" s="1"/>
  <c r="I64" i="7" s="1"/>
  <c r="J64" i="7" s="1"/>
  <c r="K64" i="7" s="1"/>
  <c r="L64" i="7" s="1"/>
  <c r="M64" i="7" s="1"/>
  <c r="N64" i="7" s="1"/>
  <c r="O64" i="7" s="1"/>
  <c r="P64" i="7" s="1"/>
  <c r="Q64" i="7" s="1"/>
  <c r="R64" i="7" s="1"/>
  <c r="S64" i="7" s="1"/>
  <c r="A61" i="15"/>
  <c r="BA479" i="3"/>
  <c r="BA470" i="3"/>
  <c r="F24" i="7"/>
  <c r="G24" i="7" s="1"/>
  <c r="H24" i="7" s="1"/>
  <c r="I24" i="7" s="1"/>
  <c r="J24" i="7" s="1"/>
  <c r="K24" i="7" s="1"/>
  <c r="L24" i="7" s="1"/>
  <c r="M24" i="7" s="1"/>
  <c r="N24" i="7" s="1"/>
  <c r="O24" i="7" s="1"/>
  <c r="P24" i="7" s="1"/>
  <c r="Q24" i="7" s="1"/>
  <c r="R24" i="7" s="1"/>
  <c r="S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7" i="13"/>
  <c r="E65" i="13"/>
  <c r="E53" i="13"/>
  <c r="E49" i="13"/>
  <c r="E47" i="13"/>
  <c r="E46" i="13"/>
  <c r="E45"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S93" i="4" s="1"/>
  <c r="E93" i="13" s="1"/>
  <c r="R92" i="4"/>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2" i="4"/>
  <c r="S52" i="4" s="1"/>
  <c r="E52" i="13" s="1"/>
  <c r="R51" i="4"/>
  <c r="S51" i="4" s="1"/>
  <c r="E51" i="13" s="1"/>
  <c r="R50" i="4"/>
  <c r="S50" i="4" s="1"/>
  <c r="E50" i="13" s="1"/>
  <c r="R49" i="4"/>
  <c r="R48" i="4"/>
  <c r="S48" i="4" s="1"/>
  <c r="E48" i="13" s="1"/>
  <c r="R47" i="4"/>
  <c r="R46" i="4"/>
  <c r="R45" i="4"/>
  <c r="R43" i="4"/>
  <c r="S43" i="4" s="1"/>
  <c r="E43" i="13" s="1"/>
  <c r="R41" i="4"/>
  <c r="R40" i="4"/>
  <c r="S40" i="4" s="1"/>
  <c r="S42" i="4" s="1"/>
  <c r="E42" i="13" s="1"/>
  <c r="R35" i="4"/>
  <c r="S35" i="4" s="1"/>
  <c r="E35" i="13" s="1"/>
  <c r="R33" i="4"/>
  <c r="S33" i="4" s="1"/>
  <c r="E33" i="13" s="1"/>
  <c r="R31" i="4"/>
  <c r="S31" i="4" s="1"/>
  <c r="E31"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AF1027" i="3" s="1"/>
  <c r="AJ1025" i="3" s="1"/>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F34" i="4" s="1"/>
  <c r="G108" i="4"/>
  <c r="G29" i="4" s="1"/>
  <c r="H108" i="4"/>
  <c r="H53" i="4" s="1"/>
  <c r="R53" i="4" s="1"/>
  <c r="I108" i="4"/>
  <c r="I30" i="4" s="1"/>
  <c r="I38" i="4" s="1"/>
  <c r="J108" i="4"/>
  <c r="J30" i="4" s="1"/>
  <c r="J38" i="4" s="1"/>
  <c r="K108" i="4"/>
  <c r="K32" i="4" s="1"/>
  <c r="L108" i="4"/>
  <c r="L99" i="4" s="1"/>
  <c r="E99" i="4" s="1"/>
  <c r="E104" i="4" s="1"/>
  <c r="M108" i="4"/>
  <c r="M37" i="4" s="1"/>
  <c r="M38"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D36" i="11" l="1"/>
  <c r="BE23" i="3"/>
  <c r="E34" i="4"/>
  <c r="R34" i="4" s="1"/>
  <c r="S34" i="4" s="1"/>
  <c r="E34" i="13" s="1"/>
  <c r="D34" i="11"/>
  <c r="S81" i="4"/>
  <c r="E81" i="13" s="1"/>
  <c r="E32" i="4"/>
  <c r="R32" i="4" s="1"/>
  <c r="S32" i="4" s="1"/>
  <c r="S96" i="4"/>
  <c r="E96" i="13" s="1"/>
  <c r="E29" i="4"/>
  <c r="R29" i="4" s="1"/>
  <c r="S29" i="4" s="1"/>
  <c r="E29" i="13" s="1"/>
  <c r="D85" i="11"/>
  <c r="E40" i="13"/>
  <c r="E30" i="4"/>
  <c r="R30" i="4" s="1"/>
  <c r="S30" i="4" s="1"/>
  <c r="E30" i="13" s="1"/>
  <c r="H54" i="4"/>
  <c r="H63" i="4" s="1"/>
  <c r="H97" i="4" s="1"/>
  <c r="H105" i="4" s="1"/>
  <c r="S54" i="4"/>
  <c r="E54" i="13" s="1"/>
  <c r="B26" i="4"/>
  <c r="D87" i="11"/>
  <c r="G38" i="4"/>
  <c r="G63" i="4" s="1"/>
  <c r="G97" i="4" s="1"/>
  <c r="G105" i="4" s="1"/>
  <c r="E37" i="4"/>
  <c r="R37" i="4" s="1"/>
  <c r="S37" i="4" s="1"/>
  <c r="E37" i="13" s="1"/>
  <c r="L104" i="4"/>
  <c r="R99" i="4"/>
  <c r="S99" i="4" s="1"/>
  <c r="E32" i="13"/>
  <c r="K38" i="4"/>
  <c r="K63" i="4" s="1"/>
  <c r="K97" i="4" s="1"/>
  <c r="K105" i="4" s="1"/>
  <c r="F38" i="4"/>
  <c r="F63" i="4" s="1"/>
  <c r="F97" i="4" s="1"/>
  <c r="F105" i="4" s="1"/>
  <c r="D103" i="11"/>
  <c r="D101" i="11"/>
  <c r="D93" i="11"/>
  <c r="D33" i="11"/>
  <c r="D32" i="11"/>
  <c r="D6" i="11"/>
  <c r="D8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I63" i="4"/>
  <c r="I97" i="4" s="1"/>
  <c r="I105" i="4" s="1"/>
  <c r="L63" i="4"/>
  <c r="L97"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N188" i="23"/>
  <c r="C27" i="11"/>
  <c r="AB48" i="15"/>
  <c r="D46" i="11"/>
  <c r="B82" i="11"/>
  <c r="D82" i="11" s="1"/>
  <c r="C9" i="11"/>
  <c r="B63" i="11"/>
  <c r="T63" i="4"/>
  <c r="B96" i="4"/>
  <c r="B38" i="4"/>
  <c r="D84" i="11"/>
  <c r="B5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C7" i="7"/>
  <c r="G12" i="4"/>
  <c r="AF1014" i="3"/>
  <c r="G99" i="21"/>
  <c r="C63" i="4"/>
  <c r="B63" i="13" s="1"/>
  <c r="AY1003" i="3"/>
  <c r="I1048" i="3" s="1"/>
  <c r="C798" i="3"/>
  <c r="F40" i="7"/>
  <c r="F43" i="7" s="1"/>
  <c r="R28"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Q28" i="7"/>
  <c r="AO641" i="3"/>
  <c r="S28" i="7"/>
  <c r="O28" i="7"/>
  <c r="M28" i="7"/>
  <c r="L28" i="7"/>
  <c r="K28" i="7"/>
  <c r="N28" i="7"/>
  <c r="G28" i="7"/>
  <c r="J28" i="7"/>
  <c r="P28" i="7"/>
  <c r="F28" i="7"/>
  <c r="I28" i="7"/>
  <c r="H28" i="7"/>
  <c r="S40" i="7"/>
  <c r="S43" i="7" s="1"/>
  <c r="L40" i="7"/>
  <c r="L43" i="7" s="1"/>
  <c r="AK183" i="20"/>
  <c r="AP366" i="20"/>
  <c r="AQ366" i="20" s="1"/>
  <c r="T816" i="20"/>
  <c r="T808" i="20"/>
  <c r="AF808" i="20" s="1"/>
  <c r="BE75" i="3" s="1"/>
  <c r="AK794" i="20"/>
  <c r="T819" i="20" s="1"/>
  <c r="AF819" i="20" s="1"/>
  <c r="BE82" i="3" s="1"/>
  <c r="P44" i="21" a="1"/>
  <c r="P44" i="21"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R28" i="21" a="1"/>
  <c r="R28" i="21" s="1"/>
  <c r="AG445" i="3"/>
  <c r="AD27" i="15" s="1"/>
  <c r="ET753" i="3"/>
  <c r="T24" i="21"/>
  <c r="B27" i="11"/>
  <c r="D26" i="11"/>
  <c r="T30" i="21"/>
  <c r="T7" i="15"/>
  <c r="E43" i="7"/>
  <c r="R44" i="21" a="1"/>
  <c r="R44" i="21" s="1"/>
  <c r="K40" i="7"/>
  <c r="K43" i="7" s="1"/>
  <c r="M40" i="7"/>
  <c r="M43" i="7" s="1"/>
  <c r="P40" i="7"/>
  <c r="P43" i="7" s="1"/>
  <c r="O40" i="7"/>
  <c r="O43" i="7" s="1"/>
  <c r="I40" i="7"/>
  <c r="I43" i="7" s="1"/>
  <c r="P36" i="21" a="1"/>
  <c r="P36" i="21" s="1"/>
  <c r="T28" i="21"/>
  <c r="R40" i="7"/>
  <c r="R43" i="7" s="1"/>
  <c r="N40" i="7"/>
  <c r="N43" i="7" s="1"/>
  <c r="P40" i="21" a="1"/>
  <c r="P40" i="21" s="1"/>
  <c r="J40" i="7"/>
  <c r="J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F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60" i="21"/>
  <c r="E26" i="21"/>
  <c r="E24" i="21"/>
  <c r="F24" i="21" s="1"/>
  <c r="G40" i="8"/>
  <c r="G15" i="7"/>
  <c r="E28" i="21"/>
  <c r="E25" i="21"/>
  <c r="F25" i="21" s="1"/>
  <c r="G25" i="21" s="1"/>
  <c r="R104" i="4" l="1"/>
  <c r="L105" i="4"/>
  <c r="S38" i="4"/>
  <c r="E38" i="13" s="1"/>
  <c r="R38" i="4"/>
  <c r="R63" i="4" s="1"/>
  <c r="R97" i="4" s="1"/>
  <c r="D71" i="11"/>
  <c r="E38" i="4"/>
  <c r="E63" i="4" s="1"/>
  <c r="E97" i="4" s="1"/>
  <c r="E105" i="4" s="1"/>
  <c r="S104" i="4"/>
  <c r="E99" i="13"/>
  <c r="N195" i="23"/>
  <c r="D43" i="11"/>
  <c r="B12" i="4"/>
  <c r="D55" i="11"/>
  <c r="D105"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BA1039" i="3"/>
  <c r="BA1048" i="3" s="1" a="1"/>
  <c r="BA1048" i="3" s="1"/>
  <c r="AO42" i="20"/>
  <c r="AS360" i="20"/>
  <c r="F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F22" i="7"/>
  <c r="F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G8" i="7"/>
  <c r="G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H15" i="7"/>
  <c r="G22" i="7"/>
  <c r="G35" i="7" s="1"/>
  <c r="E29" i="21"/>
  <c r="G24" i="21"/>
  <c r="AC455" i="3" l="1"/>
  <c r="R105" i="4"/>
  <c r="S63" i="4"/>
  <c r="BA1058" i="3"/>
  <c r="E104" i="13"/>
  <c r="O28" i="21"/>
  <c r="O23" i="21"/>
  <c r="P23" i="21" s="1" a="1"/>
  <c r="P23" i="21" s="1"/>
  <c r="S23" i="21" s="1"/>
  <c r="O26" i="21"/>
  <c r="P26" i="21" s="1" a="1"/>
  <c r="P26" i="21" s="1"/>
  <c r="S26" i="21" s="1"/>
  <c r="O25" i="21"/>
  <c r="P25" i="21" s="1" a="1"/>
  <c r="P25" i="21" s="1"/>
  <c r="S25" i="21" s="1"/>
  <c r="O24" i="21"/>
  <c r="P24" i="21" s="1" a="1"/>
  <c r="P24" i="21" s="1"/>
  <c r="S24" i="21" s="1"/>
  <c r="O20" i="21"/>
  <c r="P20" i="21" s="1" a="1"/>
  <c r="P20" i="21" s="1"/>
  <c r="S20" i="21" s="1"/>
  <c r="O21" i="21"/>
  <c r="P21" i="21" s="1" a="1"/>
  <c r="P21" i="21" s="1"/>
  <c r="S21" i="21" s="1"/>
  <c r="O22" i="21"/>
  <c r="P22" i="21" s="1" a="1"/>
  <c r="P22" i="21" s="1"/>
  <c r="S22" i="21" s="1"/>
  <c r="D64" i="11"/>
  <c r="B105" i="4"/>
  <c r="BE101" i="3"/>
  <c r="AK84" i="20"/>
  <c r="AK191" i="20" s="1"/>
  <c r="T811" i="20" s="1"/>
  <c r="AF811" i="20" s="1"/>
  <c r="BE76" i="3" s="1"/>
  <c r="D13" i="11"/>
  <c r="B97" i="13"/>
  <c r="B97" i="4"/>
  <c r="B105" i="13"/>
  <c r="AG269" i="20"/>
  <c r="T105" i="4"/>
  <c r="H97" i="13"/>
  <c r="P29" i="21" a="1"/>
  <c r="P29" i="21" s="1"/>
  <c r="S29" i="21" s="1"/>
  <c r="P31" i="21" a="1"/>
  <c r="P31" i="21" s="1"/>
  <c r="S31" i="21" s="1"/>
  <c r="P30" i="21" a="1"/>
  <c r="P30" i="21" s="1"/>
  <c r="S30" i="21" s="1"/>
  <c r="P28" i="21" a="1"/>
  <c r="P28" i="21" s="1"/>
  <c r="S28" i="21" s="1"/>
  <c r="P27" i="21" a="1"/>
  <c r="P27" i="21" s="1"/>
  <c r="S27" i="21" s="1"/>
  <c r="DU755" i="3"/>
  <c r="O756" i="3" s="1"/>
  <c r="BG753" i="3"/>
  <c r="BU753" i="3"/>
  <c r="AH753" i="3" s="1"/>
  <c r="BE43" i="3" s="1"/>
  <c r="E35" i="7"/>
  <c r="Y23" i="15"/>
  <c r="AI23" i="15"/>
  <c r="AI26" i="15" s="1"/>
  <c r="AI28" i="15" s="1"/>
  <c r="BT753" i="3"/>
  <c r="AX695" i="20"/>
  <c r="AO695" i="20" s="1"/>
  <c r="BH718" i="3"/>
  <c r="DX670" i="3"/>
  <c r="E130" i="20" s="1"/>
  <c r="E133" i="20" s="1"/>
  <c r="E136" i="20" s="1"/>
  <c r="AW122" i="20"/>
  <c r="H8" i="7"/>
  <c r="I8" i="7" s="1"/>
  <c r="D98" i="11"/>
  <c r="C106" i="11"/>
  <c r="D106" i="11" s="1"/>
  <c r="F4" i="7"/>
  <c r="F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F6" i="7"/>
  <c r="E7" i="7"/>
  <c r="I15" i="7"/>
  <c r="H22" i="7"/>
  <c r="H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AD11" i="15" s="1"/>
  <c r="AD23" i="15" s="1"/>
  <c r="AD26" i="15" s="1"/>
  <c r="AD28" i="15" s="1"/>
  <c r="G45" i="21"/>
  <c r="G47" i="21" s="1"/>
  <c r="E10" i="21" s="1"/>
  <c r="E11" i="21"/>
  <c r="Y26" i="15"/>
  <c r="Y28" i="15" s="1"/>
  <c r="Y64" i="15" s="1"/>
  <c r="AP705" i="20"/>
  <c r="AP706" i="20"/>
  <c r="G4" i="7"/>
  <c r="G5" i="7" s="1"/>
  <c r="H9" i="7"/>
  <c r="E11" i="7"/>
  <c r="E37" i="7" s="1"/>
  <c r="E49" i="7" s="1"/>
  <c r="AJ992" i="3"/>
  <c r="E138" i="20"/>
  <c r="E139" i="20" s="1"/>
  <c r="AK143" i="20" s="1"/>
  <c r="T807" i="20" s="1"/>
  <c r="AF807" i="20" s="1"/>
  <c r="BE74" i="3" s="1"/>
  <c r="AB991" i="3"/>
  <c r="DU802" i="3"/>
  <c r="U373" i="20" s="1"/>
  <c r="P421" i="3"/>
  <c r="G6" i="7"/>
  <c r="F7" i="7"/>
  <c r="F11" i="7" s="1"/>
  <c r="F37" i="7" s="1"/>
  <c r="I22" i="7"/>
  <c r="I35" i="7" s="1"/>
  <c r="J15" i="7"/>
  <c r="I9" i="7"/>
  <c r="J8" i="7"/>
  <c r="G27" i="21"/>
  <c r="F26" i="21"/>
  <c r="AJ994" i="3" l="1"/>
  <c r="AJ1016" i="3"/>
  <c r="E97" i="13"/>
  <c r="AZ1046" i="3"/>
  <c r="S105" i="4"/>
  <c r="BE44" i="3"/>
  <c r="F457" i="3"/>
  <c r="N196" i="23"/>
  <c r="N186" i="23"/>
  <c r="AJ1045" i="3"/>
  <c r="AJ1049" i="3"/>
  <c r="AP553" i="20" s="1"/>
  <c r="Y68" i="15"/>
  <c r="AP550" i="20"/>
  <c r="H4" i="7"/>
  <c r="I4" i="7" s="1"/>
  <c r="E45" i="7"/>
  <c r="F45" i="7"/>
  <c r="F49" i="7"/>
  <c r="H6" i="7"/>
  <c r="G7" i="7"/>
  <c r="G11" i="7" s="1"/>
  <c r="G37" i="7" s="1"/>
  <c r="G26" i="21"/>
  <c r="F29" i="21"/>
  <c r="G29" i="21"/>
  <c r="J22" i="7"/>
  <c r="J35" i="7" s="1"/>
  <c r="K15" i="7"/>
  <c r="J9" i="7"/>
  <c r="K8" i="7"/>
  <c r="S107" i="4" l="1"/>
  <c r="E105" i="13"/>
  <c r="BA1056" i="3"/>
  <c r="AZ1051" i="3"/>
  <c r="F53" i="7"/>
  <c r="F54" i="7" s="1"/>
  <c r="F55" i="7" s="1"/>
  <c r="E54" i="7"/>
  <c r="E55" i="7" s="1"/>
  <c r="E57" i="7" s="1"/>
  <c r="E48" i="7"/>
  <c r="AJ1053" i="3"/>
  <c r="AP552" i="20"/>
  <c r="AP554" i="20" s="1"/>
  <c r="Y69" i="15"/>
  <c r="H5" i="7"/>
  <c r="E47" i="7"/>
  <c r="J4" i="7"/>
  <c r="I5" i="7"/>
  <c r="G45" i="7"/>
  <c r="G49" i="7"/>
  <c r="I6" i="7"/>
  <c r="H7" i="7"/>
  <c r="F47" i="7"/>
  <c r="F48" i="7"/>
  <c r="K22" i="7"/>
  <c r="K35" i="7" s="1"/>
  <c r="L15" i="7"/>
  <c r="G79" i="21"/>
  <c r="G31" i="21"/>
  <c r="G33" i="21" s="1"/>
  <c r="E9" i="21" s="1"/>
  <c r="G88" i="21"/>
  <c r="G90" i="21" s="1"/>
  <c r="E16" i="21" s="1"/>
  <c r="G111" i="21"/>
  <c r="G96" i="21"/>
  <c r="K9" i="7"/>
  <c r="L8" i="7"/>
  <c r="BA1055" i="3" l="1"/>
  <c r="BA1059" i="3" s="1"/>
  <c r="AA1056" i="3"/>
  <c r="AF551" i="20"/>
  <c r="E107" i="13"/>
  <c r="T11" i="15" s="1"/>
  <c r="T23" i="15" s="1"/>
  <c r="T26" i="15" s="1"/>
  <c r="T28" i="15" s="1"/>
  <c r="T29" i="15" s="1"/>
  <c r="AC456" i="3"/>
  <c r="G53" i="7"/>
  <c r="E59" i="7"/>
  <c r="G80" i="21"/>
  <c r="E15" i="21" s="1"/>
  <c r="T24" i="15"/>
  <c r="AP557" i="20"/>
  <c r="AP556" i="20" s="1"/>
  <c r="AP559" i="20" s="1"/>
  <c r="AF552" i="20" s="1"/>
  <c r="H11" i="7"/>
  <c r="H37" i="7" s="1"/>
  <c r="H45" i="7" s="1"/>
  <c r="J5" i="7"/>
  <c r="K4" i="7"/>
  <c r="I7" i="7"/>
  <c r="I11" i="7" s="1"/>
  <c r="I37" i="7" s="1"/>
  <c r="J6" i="7"/>
  <c r="G48" i="7"/>
  <c r="G47" i="7"/>
  <c r="G101" i="21"/>
  <c r="G113" i="21"/>
  <c r="G97" i="21"/>
  <c r="L22" i="7"/>
  <c r="L35" i="7" s="1"/>
  <c r="M15" i="7"/>
  <c r="M8" i="7"/>
  <c r="L9" i="7"/>
  <c r="AA1057" i="3" l="1"/>
  <c r="G1058" i="3" s="1"/>
  <c r="Y38" i="15"/>
  <c r="Y40" i="15" s="1"/>
  <c r="AF553" i="20"/>
  <c r="AK559" i="20" s="1"/>
  <c r="T818" i="20" s="1"/>
  <c r="AF818" i="20" s="1"/>
  <c r="BE81" i="3" s="1"/>
  <c r="H53" i="7"/>
  <c r="G54" i="7"/>
  <c r="G55" i="7" s="1"/>
  <c r="E62" i="7"/>
  <c r="E65" i="7" s="1"/>
  <c r="E67" i="7" s="1"/>
  <c r="F57" i="7"/>
  <c r="AD38" i="15"/>
  <c r="AD40" i="15" s="1"/>
  <c r="G115" i="21"/>
  <c r="E17" i="21" s="1"/>
  <c r="E14" i="21" s="1"/>
  <c r="E18" i="21" s="1"/>
  <c r="H49" i="7"/>
  <c r="L4" i="7"/>
  <c r="K5" i="7"/>
  <c r="J7" i="7"/>
  <c r="J11" i="7" s="1"/>
  <c r="J37" i="7" s="1"/>
  <c r="K6" i="7"/>
  <c r="I45" i="7"/>
  <c r="I49" i="7"/>
  <c r="H47" i="7"/>
  <c r="H48" i="7"/>
  <c r="M22" i="7"/>
  <c r="M35" i="7" s="1"/>
  <c r="N15" i="7"/>
  <c r="M9" i="7"/>
  <c r="N8" i="7"/>
  <c r="Y41" i="15" l="1"/>
  <c r="AB56" i="15" s="1"/>
  <c r="M26" i="3" s="1"/>
  <c r="BE19" i="3" s="1"/>
  <c r="I53" i="7"/>
  <c r="I54" i="7" s="1"/>
  <c r="I55" i="7" s="1"/>
  <c r="H54" i="7"/>
  <c r="H55" i="7" s="1"/>
  <c r="F62" i="7"/>
  <c r="F59" i="7"/>
  <c r="G57" i="7"/>
  <c r="M4" i="7"/>
  <c r="L5" i="7"/>
  <c r="I48" i="7"/>
  <c r="I47" i="7"/>
  <c r="J45" i="7"/>
  <c r="J49" i="7"/>
  <c r="K7" i="7"/>
  <c r="K11" i="7" s="1"/>
  <c r="K37" i="7" s="1"/>
  <c r="L6" i="7"/>
  <c r="N22" i="7"/>
  <c r="N35" i="7" s="1"/>
  <c r="O15" i="7"/>
  <c r="N9" i="7"/>
  <c r="O8" i="7"/>
  <c r="F65" i="7" l="1"/>
  <c r="F67" i="7" s="1"/>
  <c r="J53" i="7"/>
  <c r="G62" i="7"/>
  <c r="G59" i="7"/>
  <c r="H57" i="7"/>
  <c r="AB57" i="15"/>
  <c r="P204" i="3"/>
  <c r="M5" i="7"/>
  <c r="N4" i="7"/>
  <c r="K49" i="7"/>
  <c r="K45" i="7"/>
  <c r="J47" i="7"/>
  <c r="J48" i="7"/>
  <c r="L7" i="7"/>
  <c r="L11" i="7" s="1"/>
  <c r="L37" i="7" s="1"/>
  <c r="M6" i="7"/>
  <c r="O22" i="7"/>
  <c r="O35" i="7" s="1"/>
  <c r="P15" i="7"/>
  <c r="O9" i="7"/>
  <c r="P8" i="7"/>
  <c r="K53" i="7" l="1"/>
  <c r="J54" i="7"/>
  <c r="J55" i="7" s="1"/>
  <c r="G65" i="7"/>
  <c r="G67" i="7" s="1"/>
  <c r="I57" i="7"/>
  <c r="H62" i="7"/>
  <c r="H59" i="7"/>
  <c r="AB59" i="15"/>
  <c r="AB77" i="15" s="1"/>
  <c r="N5" i="7"/>
  <c r="O4" i="7"/>
  <c r="M7" i="7"/>
  <c r="M11" i="7" s="1"/>
  <c r="M37" i="7" s="1"/>
  <c r="N6" i="7"/>
  <c r="K48" i="7"/>
  <c r="K47" i="7"/>
  <c r="L49" i="7"/>
  <c r="L45" i="7"/>
  <c r="Q15" i="7"/>
  <c r="P22" i="7"/>
  <c r="P35" i="7" s="1"/>
  <c r="Q8" i="7"/>
  <c r="P9" i="7"/>
  <c r="L53" i="7" l="1"/>
  <c r="K54" i="7"/>
  <c r="K55" i="7" s="1"/>
  <c r="H65" i="7"/>
  <c r="H67" i="7" s="1"/>
  <c r="I62" i="7"/>
  <c r="I65" i="7" s="1"/>
  <c r="I59" i="7"/>
  <c r="J57" i="7"/>
  <c r="AB78" i="15"/>
  <c r="AB79" i="15" s="1"/>
  <c r="AB81" i="15" s="1"/>
  <c r="J82" i="15" s="1"/>
  <c r="P4" i="7"/>
  <c r="O5" i="7"/>
  <c r="O6" i="7"/>
  <c r="N7" i="7"/>
  <c r="N11" i="7" s="1"/>
  <c r="N37" i="7" s="1"/>
  <c r="M45" i="7"/>
  <c r="M49" i="7"/>
  <c r="L48" i="7"/>
  <c r="L47" i="7"/>
  <c r="R15" i="7"/>
  <c r="Q22" i="7"/>
  <c r="Q35" i="7" s="1"/>
  <c r="Q9" i="7"/>
  <c r="R8" i="7"/>
  <c r="M53" i="7" l="1"/>
  <c r="M54" i="7" s="1"/>
  <c r="M55" i="7" s="1"/>
  <c r="L54" i="7"/>
  <c r="L55" i="7" s="1"/>
  <c r="K57" i="7"/>
  <c r="J62" i="7"/>
  <c r="J59" i="7"/>
  <c r="I67" i="7"/>
  <c r="M27" i="3"/>
  <c r="BE20" i="3" s="1"/>
  <c r="I10" i="21"/>
  <c r="I11" i="21" s="1"/>
  <c r="P5" i="7"/>
  <c r="Q4" i="7"/>
  <c r="M48" i="7"/>
  <c r="M47" i="7"/>
  <c r="N49" i="7"/>
  <c r="N45" i="7"/>
  <c r="O7" i="7"/>
  <c r="O11" i="7" s="1"/>
  <c r="O37" i="7" s="1"/>
  <c r="P6" i="7"/>
  <c r="R22" i="7"/>
  <c r="R35" i="7" s="1"/>
  <c r="S15" i="7"/>
  <c r="S22" i="7" s="1"/>
  <c r="S35" i="7" s="1"/>
  <c r="R9" i="7"/>
  <c r="S8" i="7"/>
  <c r="S9" i="7" s="1"/>
  <c r="N53" i="7" l="1"/>
  <c r="J65" i="7"/>
  <c r="J67" i="7" s="1"/>
  <c r="K62" i="7"/>
  <c r="K59" i="7"/>
  <c r="L57" i="7"/>
  <c r="I18" i="21"/>
  <c r="H4" i="21" s="1"/>
  <c r="P205" i="3"/>
  <c r="Q5" i="7"/>
  <c r="R4" i="7"/>
  <c r="Q6" i="7"/>
  <c r="P7" i="7"/>
  <c r="P11" i="7" s="1"/>
  <c r="P37" i="7" s="1"/>
  <c r="O49" i="7"/>
  <c r="O45" i="7"/>
  <c r="N47" i="7"/>
  <c r="N48" i="7"/>
  <c r="O53" i="7" l="1"/>
  <c r="N54" i="7"/>
  <c r="N55" i="7" s="1"/>
  <c r="K65" i="7"/>
  <c r="K67" i="7" s="1"/>
  <c r="M57" i="7"/>
  <c r="L62" i="7"/>
  <c r="L59" i="7"/>
  <c r="R5" i="7"/>
  <c r="S4" i="7"/>
  <c r="P45" i="7"/>
  <c r="P49" i="7"/>
  <c r="O47" i="7"/>
  <c r="O48" i="7"/>
  <c r="R6" i="7"/>
  <c r="Q7" i="7"/>
  <c r="Q11" i="7" s="1"/>
  <c r="Q37" i="7" s="1"/>
  <c r="P53" i="7" l="1"/>
  <c r="O54" i="7"/>
  <c r="O55" i="7" s="1"/>
  <c r="L65" i="7"/>
  <c r="L67" i="7" s="1"/>
  <c r="N57" i="7"/>
  <c r="M59" i="7"/>
  <c r="M62" i="7"/>
  <c r="S5" i="7"/>
  <c r="P47" i="7"/>
  <c r="P48" i="7"/>
  <c r="Q45" i="7"/>
  <c r="Q49" i="7"/>
  <c r="R7" i="7"/>
  <c r="R11" i="7" s="1"/>
  <c r="R37" i="7" s="1"/>
  <c r="S6" i="7"/>
  <c r="Q53" i="7" l="1"/>
  <c r="P54" i="7"/>
  <c r="P55" i="7" s="1"/>
  <c r="M65" i="7"/>
  <c r="M67" i="7" s="1"/>
  <c r="O57" i="7"/>
  <c r="N62" i="7"/>
  <c r="N59" i="7"/>
  <c r="S7" i="7"/>
  <c r="S11" i="7" s="1"/>
  <c r="S37" i="7" s="1"/>
  <c r="R49" i="7"/>
  <c r="R45" i="7"/>
  <c r="Q48" i="7"/>
  <c r="Q47" i="7"/>
  <c r="N65" i="7" l="1"/>
  <c r="N67" i="7" s="1"/>
  <c r="R53" i="7"/>
  <c r="R54" i="7" s="1"/>
  <c r="R55" i="7" s="1"/>
  <c r="Q54" i="7"/>
  <c r="Q55" i="7" s="1"/>
  <c r="P57" i="7"/>
  <c r="O62" i="7"/>
  <c r="O59" i="7"/>
  <c r="R47" i="7"/>
  <c r="R48" i="7"/>
  <c r="S49" i="7"/>
  <c r="S45" i="7"/>
  <c r="S53" i="7" l="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AQ53" i="7" s="1"/>
  <c r="AR53" i="7" s="1"/>
  <c r="AS53" i="7" s="1"/>
  <c r="AT53" i="7" s="1"/>
  <c r="AU53" i="7" s="1"/>
  <c r="AV53" i="7" s="1"/>
  <c r="AW53" i="7" s="1"/>
  <c r="AX53" i="7" s="1"/>
  <c r="AY53" i="7" s="1"/>
  <c r="AZ53" i="7" s="1"/>
  <c r="BA53" i="7" s="1"/>
  <c r="BB53" i="7" s="1"/>
  <c r="BC53" i="7" s="1"/>
  <c r="BD53" i="7" s="1"/>
  <c r="BE53" i="7" s="1"/>
  <c r="BF53" i="7" s="1"/>
  <c r="BG53" i="7" s="1"/>
  <c r="BH53" i="7" s="1"/>
  <c r="BI53" i="7" s="1"/>
  <c r="BJ53" i="7" s="1"/>
  <c r="BK53" i="7" s="1"/>
  <c r="BL53" i="7" s="1"/>
  <c r="BM53" i="7" s="1"/>
  <c r="BN53" i="7" s="1"/>
  <c r="BO53" i="7" s="1"/>
  <c r="BP53" i="7" s="1"/>
  <c r="BQ53" i="7" s="1"/>
  <c r="BR53" i="7" s="1"/>
  <c r="BS53" i="7" s="1"/>
  <c r="BT53" i="7" s="1"/>
  <c r="BU53" i="7" s="1"/>
  <c r="BV53" i="7" s="1"/>
  <c r="BW53" i="7" s="1"/>
  <c r="BX53" i="7" s="1"/>
  <c r="BY53" i="7" s="1"/>
  <c r="BZ53" i="7" s="1"/>
  <c r="CA53" i="7" s="1"/>
  <c r="CB53" i="7" s="1"/>
  <c r="CC53" i="7" s="1"/>
  <c r="CD53" i="7" s="1"/>
  <c r="CE53" i="7" s="1"/>
  <c r="CF53" i="7" s="1"/>
  <c r="CG53" i="7" s="1"/>
  <c r="CH53" i="7" s="1"/>
  <c r="CI53" i="7" s="1"/>
  <c r="CJ53" i="7" s="1"/>
  <c r="CK53" i="7" s="1"/>
  <c r="CL53" i="7" s="1"/>
  <c r="CM53" i="7" s="1"/>
  <c r="CN53" i="7" s="1"/>
  <c r="CO53" i="7" s="1"/>
  <c r="CP53" i="7" s="1"/>
  <c r="CQ53" i="7" s="1"/>
  <c r="CR53" i="7" s="1"/>
  <c r="CS53" i="7" s="1"/>
  <c r="CT53" i="7" s="1"/>
  <c r="CU53" i="7" s="1"/>
  <c r="CV53" i="7" s="1"/>
  <c r="CW53" i="7" s="1"/>
  <c r="CX53" i="7" s="1"/>
  <c r="CY53" i="7" s="1"/>
  <c r="CZ53" i="7" s="1"/>
  <c r="DA53" i="7" s="1"/>
  <c r="DB53" i="7" s="1"/>
  <c r="DC53" i="7" s="1"/>
  <c r="DD53" i="7" s="1"/>
  <c r="DE53" i="7" s="1"/>
  <c r="DF53" i="7" s="1"/>
  <c r="DG53" i="7" s="1"/>
  <c r="DH53" i="7" s="1"/>
  <c r="DI53" i="7" s="1"/>
  <c r="DJ53" i="7" s="1"/>
  <c r="DK53" i="7" s="1"/>
  <c r="DL53" i="7" s="1"/>
  <c r="DM53" i="7" s="1"/>
  <c r="DN53" i="7" s="1"/>
  <c r="DO53" i="7" s="1"/>
  <c r="DP53" i="7" s="1"/>
  <c r="DQ53" i="7" s="1"/>
  <c r="DR53" i="7" s="1"/>
  <c r="DS53" i="7" s="1"/>
  <c r="DT53" i="7" s="1"/>
  <c r="DU53" i="7" s="1"/>
  <c r="DV53" i="7" s="1"/>
  <c r="DW53" i="7" s="1"/>
  <c r="DX53" i="7" s="1"/>
  <c r="DY53" i="7" s="1"/>
  <c r="DZ53" i="7" s="1"/>
  <c r="EA53" i="7" s="1"/>
  <c r="EB53" i="7" s="1"/>
  <c r="EC53" i="7" s="1"/>
  <c r="ED53" i="7" s="1"/>
  <c r="EE53" i="7" s="1"/>
  <c r="EF53" i="7" s="1"/>
  <c r="EG53" i="7" s="1"/>
  <c r="EH53" i="7" s="1"/>
  <c r="EI53" i="7" s="1"/>
  <c r="EJ53" i="7" s="1"/>
  <c r="EK53" i="7" s="1"/>
  <c r="EL53" i="7" s="1"/>
  <c r="EM53" i="7" s="1"/>
  <c r="EN53" i="7" s="1"/>
  <c r="EO53" i="7" s="1"/>
  <c r="EP53" i="7" s="1"/>
  <c r="EQ53" i="7" s="1"/>
  <c r="ER53" i="7" s="1"/>
  <c r="ES53" i="7" s="1"/>
  <c r="ET53" i="7" s="1"/>
  <c r="EU53" i="7" s="1"/>
  <c r="EV53" i="7" s="1"/>
  <c r="EW53" i="7" s="1"/>
  <c r="EX53" i="7" s="1"/>
  <c r="EY53" i="7" s="1"/>
  <c r="EZ53" i="7" s="1"/>
  <c r="FA53" i="7" s="1"/>
  <c r="FB53" i="7" s="1"/>
  <c r="FC53" i="7" s="1"/>
  <c r="FD53" i="7" s="1"/>
  <c r="FE53" i="7" s="1"/>
  <c r="FF53" i="7" s="1"/>
  <c r="FG53" i="7" s="1"/>
  <c r="FH53" i="7" s="1"/>
  <c r="FI53" i="7" s="1"/>
  <c r="FJ53" i="7" s="1"/>
  <c r="FK53" i="7" s="1"/>
  <c r="FL53" i="7" s="1"/>
  <c r="FM53" i="7" s="1"/>
  <c r="FN53" i="7" s="1"/>
  <c r="FO53" i="7" s="1"/>
  <c r="FP53" i="7" s="1"/>
  <c r="FQ53" i="7" s="1"/>
  <c r="FR53" i="7" s="1"/>
  <c r="FS53" i="7" s="1"/>
  <c r="FT53" i="7" s="1"/>
  <c r="FU53" i="7" s="1"/>
  <c r="FV53" i="7" s="1"/>
  <c r="FW53" i="7" s="1"/>
  <c r="FX53" i="7" s="1"/>
  <c r="FY53" i="7" s="1"/>
  <c r="FZ53" i="7" s="1"/>
  <c r="GA53" i="7" s="1"/>
  <c r="GB53" i="7" s="1"/>
  <c r="GC53" i="7" s="1"/>
  <c r="GD53" i="7" s="1"/>
  <c r="GE53" i="7" s="1"/>
  <c r="GF53" i="7" s="1"/>
  <c r="GG53" i="7" s="1"/>
  <c r="GH53" i="7" s="1"/>
  <c r="GI53" i="7" s="1"/>
  <c r="GJ53" i="7" s="1"/>
  <c r="GK53" i="7" s="1"/>
  <c r="GL53" i="7" s="1"/>
  <c r="GM53" i="7" s="1"/>
  <c r="GN53" i="7" s="1"/>
  <c r="GO53" i="7" s="1"/>
  <c r="GP53" i="7" s="1"/>
  <c r="GQ53" i="7" s="1"/>
  <c r="GR53" i="7" s="1"/>
  <c r="GS53" i="7" s="1"/>
  <c r="GT53" i="7" s="1"/>
  <c r="GU53" i="7" s="1"/>
  <c r="GV53" i="7" s="1"/>
  <c r="GW53" i="7" s="1"/>
  <c r="GX53" i="7" s="1"/>
  <c r="GY53" i="7" s="1"/>
  <c r="GZ53" i="7" s="1"/>
  <c r="HA53" i="7" s="1"/>
  <c r="HB53" i="7" s="1"/>
  <c r="HC53" i="7" s="1"/>
  <c r="HD53" i="7" s="1"/>
  <c r="HE53" i="7" s="1"/>
  <c r="HF53" i="7" s="1"/>
  <c r="HG53" i="7" s="1"/>
  <c r="HH53" i="7" s="1"/>
  <c r="HI53" i="7" s="1"/>
  <c r="HJ53" i="7" s="1"/>
  <c r="HK53" i="7" s="1"/>
  <c r="HL53" i="7" s="1"/>
  <c r="HM53" i="7" s="1"/>
  <c r="HN53" i="7" s="1"/>
  <c r="HO53" i="7" s="1"/>
  <c r="HP53" i="7" s="1"/>
  <c r="HQ53" i="7" s="1"/>
  <c r="HR53" i="7" s="1"/>
  <c r="HS53" i="7" s="1"/>
  <c r="HT53" i="7" s="1"/>
  <c r="HU53" i="7" s="1"/>
  <c r="HV53" i="7" s="1"/>
  <c r="HW53" i="7" s="1"/>
  <c r="HX53" i="7" s="1"/>
  <c r="HY53" i="7" s="1"/>
  <c r="HZ53" i="7" s="1"/>
  <c r="IA53" i="7" s="1"/>
  <c r="IB53" i="7" s="1"/>
  <c r="IC53" i="7" s="1"/>
  <c r="ID53" i="7" s="1"/>
  <c r="IE53" i="7" s="1"/>
  <c r="IF53" i="7" s="1"/>
  <c r="IG53" i="7" s="1"/>
  <c r="IH53" i="7" s="1"/>
  <c r="II53" i="7" s="1"/>
  <c r="IJ53" i="7" s="1"/>
  <c r="IK53" i="7" s="1"/>
  <c r="IL53" i="7" s="1"/>
  <c r="IM53" i="7" s="1"/>
  <c r="IN53" i="7" s="1"/>
  <c r="IO53" i="7" s="1"/>
  <c r="IP53" i="7" s="1"/>
  <c r="IQ53" i="7" s="1"/>
  <c r="IR53" i="7" s="1"/>
  <c r="IS53" i="7" s="1"/>
  <c r="IT53" i="7" s="1"/>
  <c r="IU53" i="7" s="1"/>
  <c r="IV53" i="7" s="1"/>
  <c r="IW53" i="7" s="1"/>
  <c r="IX53" i="7" s="1"/>
  <c r="IY53" i="7" s="1"/>
  <c r="IZ53" i="7" s="1"/>
  <c r="JA53" i="7" s="1"/>
  <c r="JB53" i="7" s="1"/>
  <c r="JC53" i="7" s="1"/>
  <c r="JD53" i="7" s="1"/>
  <c r="JE53" i="7" s="1"/>
  <c r="JF53" i="7" s="1"/>
  <c r="JG53" i="7" s="1"/>
  <c r="JH53" i="7" s="1"/>
  <c r="JI53" i="7" s="1"/>
  <c r="JJ53" i="7" s="1"/>
  <c r="JK53" i="7" s="1"/>
  <c r="JL53" i="7" s="1"/>
  <c r="JM53" i="7" s="1"/>
  <c r="JN53" i="7" s="1"/>
  <c r="JO53" i="7" s="1"/>
  <c r="JP53" i="7" s="1"/>
  <c r="JQ53" i="7" s="1"/>
  <c r="JR53" i="7" s="1"/>
  <c r="JS53" i="7" s="1"/>
  <c r="JT53" i="7" s="1"/>
  <c r="JU53" i="7" s="1"/>
  <c r="JV53" i="7" s="1"/>
  <c r="JW53" i="7" s="1"/>
  <c r="JX53" i="7" s="1"/>
  <c r="JY53" i="7" s="1"/>
  <c r="JZ53" i="7" s="1"/>
  <c r="KA53" i="7" s="1"/>
  <c r="KB53" i="7" s="1"/>
  <c r="KC53" i="7" s="1"/>
  <c r="KD53" i="7" s="1"/>
  <c r="KE53" i="7" s="1"/>
  <c r="KF53" i="7" s="1"/>
  <c r="KG53" i="7" s="1"/>
  <c r="KH53" i="7" s="1"/>
  <c r="KI53" i="7" s="1"/>
  <c r="KJ53" i="7" s="1"/>
  <c r="KK53" i="7" s="1"/>
  <c r="KL53" i="7" s="1"/>
  <c r="KM53" i="7" s="1"/>
  <c r="KN53" i="7" s="1"/>
  <c r="KO53" i="7" s="1"/>
  <c r="KP53" i="7" s="1"/>
  <c r="KQ53" i="7" s="1"/>
  <c r="KR53" i="7" s="1"/>
  <c r="KS53" i="7" s="1"/>
  <c r="KT53" i="7" s="1"/>
  <c r="KU53" i="7" s="1"/>
  <c r="KV53" i="7" s="1"/>
  <c r="KW53" i="7" s="1"/>
  <c r="KX53" i="7" s="1"/>
  <c r="KY53" i="7" s="1"/>
  <c r="KZ53" i="7" s="1"/>
  <c r="LA53" i="7" s="1"/>
  <c r="LB53" i="7" s="1"/>
  <c r="LC53" i="7" s="1"/>
  <c r="LD53" i="7" s="1"/>
  <c r="LE53" i="7" s="1"/>
  <c r="LF53" i="7" s="1"/>
  <c r="LG53" i="7" s="1"/>
  <c r="LH53" i="7" s="1"/>
  <c r="LI53" i="7" s="1"/>
  <c r="LJ53" i="7" s="1"/>
  <c r="LK53" i="7" s="1"/>
  <c r="LL53" i="7" s="1"/>
  <c r="LM53" i="7" s="1"/>
  <c r="LN53" i="7" s="1"/>
  <c r="LO53" i="7" s="1"/>
  <c r="LP53" i="7" s="1"/>
  <c r="LQ53" i="7" s="1"/>
  <c r="LR53" i="7" s="1"/>
  <c r="LS53" i="7" s="1"/>
  <c r="LT53" i="7" s="1"/>
  <c r="LU53" i="7" s="1"/>
  <c r="LV53" i="7" s="1"/>
  <c r="LW53" i="7" s="1"/>
  <c r="LX53" i="7" s="1"/>
  <c r="LY53" i="7" s="1"/>
  <c r="LZ53" i="7" s="1"/>
  <c r="MA53" i="7" s="1"/>
  <c r="MB53" i="7" s="1"/>
  <c r="MC53" i="7" s="1"/>
  <c r="MD53" i="7" s="1"/>
  <c r="ME53" i="7" s="1"/>
  <c r="MF53" i="7" s="1"/>
  <c r="MG53" i="7" s="1"/>
  <c r="MH53" i="7" s="1"/>
  <c r="MI53" i="7" s="1"/>
  <c r="MJ53" i="7" s="1"/>
  <c r="MK53" i="7" s="1"/>
  <c r="ML53" i="7" s="1"/>
  <c r="MM53" i="7" s="1"/>
  <c r="MN53" i="7" s="1"/>
  <c r="MO53" i="7" s="1"/>
  <c r="MP53" i="7" s="1"/>
  <c r="MQ53" i="7" s="1"/>
  <c r="MR53" i="7" s="1"/>
  <c r="MS53" i="7" s="1"/>
  <c r="MT53" i="7" s="1"/>
  <c r="MU53" i="7" s="1"/>
  <c r="MV53" i="7" s="1"/>
  <c r="MW53" i="7" s="1"/>
  <c r="MX53" i="7" s="1"/>
  <c r="MY53" i="7" s="1"/>
  <c r="MZ53" i="7" s="1"/>
  <c r="NA53" i="7" s="1"/>
  <c r="NB53" i="7" s="1"/>
  <c r="NC53" i="7" s="1"/>
  <c r="ND53" i="7" s="1"/>
  <c r="NE53" i="7" s="1"/>
  <c r="NF53" i="7" s="1"/>
  <c r="NG53" i="7" s="1"/>
  <c r="NH53" i="7" s="1"/>
  <c r="NI53" i="7" s="1"/>
  <c r="NJ53" i="7" s="1"/>
  <c r="NK53" i="7" s="1"/>
  <c r="NL53" i="7" s="1"/>
  <c r="NM53" i="7" s="1"/>
  <c r="NN53" i="7" s="1"/>
  <c r="NO53" i="7" s="1"/>
  <c r="NP53" i="7" s="1"/>
  <c r="NQ53" i="7" s="1"/>
  <c r="NR53" i="7" s="1"/>
  <c r="NS53" i="7" s="1"/>
  <c r="NT53" i="7" s="1"/>
  <c r="NU53" i="7" s="1"/>
  <c r="NV53" i="7" s="1"/>
  <c r="NW53" i="7" s="1"/>
  <c r="NX53" i="7" s="1"/>
  <c r="NY53" i="7" s="1"/>
  <c r="NZ53" i="7" s="1"/>
  <c r="OA53" i="7" s="1"/>
  <c r="OB53" i="7" s="1"/>
  <c r="OC53" i="7" s="1"/>
  <c r="OD53" i="7" s="1"/>
  <c r="OE53" i="7" s="1"/>
  <c r="OF53" i="7" s="1"/>
  <c r="OG53" i="7" s="1"/>
  <c r="OH53" i="7" s="1"/>
  <c r="OI53" i="7" s="1"/>
  <c r="OJ53" i="7" s="1"/>
  <c r="OK53" i="7" s="1"/>
  <c r="OL53" i="7" s="1"/>
  <c r="OM53" i="7" s="1"/>
  <c r="ON53" i="7" s="1"/>
  <c r="OO53" i="7" s="1"/>
  <c r="OP53" i="7" s="1"/>
  <c r="OQ53" i="7" s="1"/>
  <c r="OR53" i="7" s="1"/>
  <c r="OS53" i="7" s="1"/>
  <c r="OT53" i="7" s="1"/>
  <c r="OU53" i="7" s="1"/>
  <c r="OV53" i="7" s="1"/>
  <c r="OW53" i="7" s="1"/>
  <c r="OX53" i="7" s="1"/>
  <c r="OY53" i="7" s="1"/>
  <c r="OZ53" i="7" s="1"/>
  <c r="PA53" i="7" s="1"/>
  <c r="PB53" i="7" s="1"/>
  <c r="PC53" i="7" s="1"/>
  <c r="PD53" i="7" s="1"/>
  <c r="PE53" i="7" s="1"/>
  <c r="PF53" i="7" s="1"/>
  <c r="PG53" i="7" s="1"/>
  <c r="PH53" i="7" s="1"/>
  <c r="PI53" i="7" s="1"/>
  <c r="PJ53" i="7" s="1"/>
  <c r="PK53" i="7" s="1"/>
  <c r="PL53" i="7" s="1"/>
  <c r="PM53" i="7" s="1"/>
  <c r="PN53" i="7" s="1"/>
  <c r="PO53" i="7" s="1"/>
  <c r="PP53" i="7" s="1"/>
  <c r="PQ53" i="7" s="1"/>
  <c r="PR53" i="7" s="1"/>
  <c r="PS53" i="7" s="1"/>
  <c r="PT53" i="7" s="1"/>
  <c r="PU53" i="7" s="1"/>
  <c r="PV53" i="7" s="1"/>
  <c r="PW53" i="7" s="1"/>
  <c r="PX53" i="7" s="1"/>
  <c r="PY53" i="7" s="1"/>
  <c r="PZ53" i="7" s="1"/>
  <c r="QA53" i="7" s="1"/>
  <c r="QB53" i="7" s="1"/>
  <c r="QC53" i="7" s="1"/>
  <c r="QD53" i="7" s="1"/>
  <c r="QE53" i="7" s="1"/>
  <c r="QF53" i="7" s="1"/>
  <c r="QG53" i="7" s="1"/>
  <c r="QH53" i="7" s="1"/>
  <c r="QI53" i="7" s="1"/>
  <c r="QJ53" i="7" s="1"/>
  <c r="QK53" i="7" s="1"/>
  <c r="QL53" i="7" s="1"/>
  <c r="QM53" i="7" s="1"/>
  <c r="QN53" i="7" s="1"/>
  <c r="QO53" i="7" s="1"/>
  <c r="QP53" i="7" s="1"/>
  <c r="QQ53" i="7" s="1"/>
  <c r="QR53" i="7" s="1"/>
  <c r="QS53" i="7" s="1"/>
  <c r="QT53" i="7" s="1"/>
  <c r="QU53" i="7" s="1"/>
  <c r="QV53" i="7" s="1"/>
  <c r="QW53" i="7" s="1"/>
  <c r="QX53" i="7" s="1"/>
  <c r="QY53" i="7" s="1"/>
  <c r="QZ53" i="7" s="1"/>
  <c r="RA53" i="7" s="1"/>
  <c r="RB53" i="7" s="1"/>
  <c r="RC53" i="7" s="1"/>
  <c r="RD53" i="7" s="1"/>
  <c r="RE53" i="7" s="1"/>
  <c r="RF53" i="7" s="1"/>
  <c r="RG53" i="7" s="1"/>
  <c r="RH53" i="7" s="1"/>
  <c r="RI53" i="7" s="1"/>
  <c r="RJ53" i="7" s="1"/>
  <c r="RK53" i="7" s="1"/>
  <c r="RL53" i="7" s="1"/>
  <c r="RM53" i="7" s="1"/>
  <c r="RN53" i="7" s="1"/>
  <c r="RO53" i="7" s="1"/>
  <c r="RP53" i="7" s="1"/>
  <c r="RQ53" i="7" s="1"/>
  <c r="RR53" i="7" s="1"/>
  <c r="RS53" i="7" s="1"/>
  <c r="RT53" i="7" s="1"/>
  <c r="RU53" i="7" s="1"/>
  <c r="RV53" i="7" s="1"/>
  <c r="RW53" i="7" s="1"/>
  <c r="RX53" i="7" s="1"/>
  <c r="RY53" i="7" s="1"/>
  <c r="RZ53" i="7" s="1"/>
  <c r="SA53" i="7" s="1"/>
  <c r="SB53" i="7" s="1"/>
  <c r="SC53" i="7" s="1"/>
  <c r="SD53" i="7" s="1"/>
  <c r="SE53" i="7" s="1"/>
  <c r="SF53" i="7" s="1"/>
  <c r="SG53" i="7" s="1"/>
  <c r="SH53" i="7" s="1"/>
  <c r="SI53" i="7" s="1"/>
  <c r="SJ53" i="7" s="1"/>
  <c r="SK53" i="7" s="1"/>
  <c r="SL53" i="7" s="1"/>
  <c r="SM53" i="7" s="1"/>
  <c r="SN53" i="7" s="1"/>
  <c r="SO53" i="7" s="1"/>
  <c r="SP53" i="7" s="1"/>
  <c r="SQ53" i="7" s="1"/>
  <c r="SR53" i="7" s="1"/>
  <c r="SS53" i="7" s="1"/>
  <c r="ST53" i="7" s="1"/>
  <c r="SU53" i="7" s="1"/>
  <c r="SV53" i="7" s="1"/>
  <c r="SW53" i="7" s="1"/>
  <c r="SX53" i="7" s="1"/>
  <c r="SY53" i="7" s="1"/>
  <c r="SZ53" i="7" s="1"/>
  <c r="TA53" i="7" s="1"/>
  <c r="TB53" i="7" s="1"/>
  <c r="TC53" i="7" s="1"/>
  <c r="TD53" i="7" s="1"/>
  <c r="TE53" i="7" s="1"/>
  <c r="TF53" i="7" s="1"/>
  <c r="TG53" i="7" s="1"/>
  <c r="TH53" i="7" s="1"/>
  <c r="TI53" i="7" s="1"/>
  <c r="TJ53" i="7" s="1"/>
  <c r="TK53" i="7" s="1"/>
  <c r="TL53" i="7" s="1"/>
  <c r="TM53" i="7" s="1"/>
  <c r="TN53" i="7" s="1"/>
  <c r="TO53" i="7" s="1"/>
  <c r="TP53" i="7" s="1"/>
  <c r="TQ53" i="7" s="1"/>
  <c r="TR53" i="7" s="1"/>
  <c r="TS53" i="7" s="1"/>
  <c r="TT53" i="7" s="1"/>
  <c r="TU53" i="7" s="1"/>
  <c r="TV53" i="7" s="1"/>
  <c r="TW53" i="7" s="1"/>
  <c r="TX53" i="7" s="1"/>
  <c r="TY53" i="7" s="1"/>
  <c r="TZ53" i="7" s="1"/>
  <c r="UA53" i="7" s="1"/>
  <c r="UB53" i="7" s="1"/>
  <c r="UC53" i="7" s="1"/>
  <c r="UD53" i="7" s="1"/>
  <c r="UE53" i="7" s="1"/>
  <c r="UF53" i="7" s="1"/>
  <c r="UG53" i="7" s="1"/>
  <c r="UH53" i="7" s="1"/>
  <c r="UI53" i="7" s="1"/>
  <c r="UJ53" i="7" s="1"/>
  <c r="UK53" i="7" s="1"/>
  <c r="UL53" i="7" s="1"/>
  <c r="UM53" i="7" s="1"/>
  <c r="UN53" i="7" s="1"/>
  <c r="UO53" i="7" s="1"/>
  <c r="UP53" i="7" s="1"/>
  <c r="UQ53" i="7" s="1"/>
  <c r="UR53" i="7" s="1"/>
  <c r="US53" i="7" s="1"/>
  <c r="UT53" i="7" s="1"/>
  <c r="UU53" i="7" s="1"/>
  <c r="UV53" i="7" s="1"/>
  <c r="UW53" i="7" s="1"/>
  <c r="UX53" i="7" s="1"/>
  <c r="UY53" i="7" s="1"/>
  <c r="UZ53" i="7" s="1"/>
  <c r="VA53" i="7" s="1"/>
  <c r="VB53" i="7" s="1"/>
  <c r="VC53" i="7" s="1"/>
  <c r="VD53" i="7" s="1"/>
  <c r="VE53" i="7" s="1"/>
  <c r="VF53" i="7" s="1"/>
  <c r="VG53" i="7" s="1"/>
  <c r="VH53" i="7" s="1"/>
  <c r="VI53" i="7" s="1"/>
  <c r="VJ53" i="7" s="1"/>
  <c r="VK53" i="7" s="1"/>
  <c r="VL53" i="7" s="1"/>
  <c r="VM53" i="7" s="1"/>
  <c r="VN53" i="7" s="1"/>
  <c r="VO53" i="7" s="1"/>
  <c r="VP53" i="7" s="1"/>
  <c r="VQ53" i="7" s="1"/>
  <c r="VR53" i="7" s="1"/>
  <c r="VS53" i="7" s="1"/>
  <c r="VT53" i="7" s="1"/>
  <c r="VU53" i="7" s="1"/>
  <c r="VV53" i="7" s="1"/>
  <c r="VW53" i="7" s="1"/>
  <c r="VX53" i="7" s="1"/>
  <c r="VY53" i="7" s="1"/>
  <c r="VZ53" i="7" s="1"/>
  <c r="WA53" i="7" s="1"/>
  <c r="WB53" i="7" s="1"/>
  <c r="WC53" i="7" s="1"/>
  <c r="WD53" i="7" s="1"/>
  <c r="WE53" i="7" s="1"/>
  <c r="WF53" i="7" s="1"/>
  <c r="WG53" i="7" s="1"/>
  <c r="WH53" i="7" s="1"/>
  <c r="WI53" i="7" s="1"/>
  <c r="WJ53" i="7" s="1"/>
  <c r="WK53" i="7" s="1"/>
  <c r="WL53" i="7" s="1"/>
  <c r="WM53" i="7" s="1"/>
  <c r="WN53" i="7" s="1"/>
  <c r="WO53" i="7" s="1"/>
  <c r="WP53" i="7" s="1"/>
  <c r="WQ53" i="7" s="1"/>
  <c r="WR53" i="7" s="1"/>
  <c r="WS53" i="7" s="1"/>
  <c r="WT53" i="7" s="1"/>
  <c r="WU53" i="7" s="1"/>
  <c r="WV53" i="7" s="1"/>
  <c r="WW53" i="7" s="1"/>
  <c r="WX53" i="7" s="1"/>
  <c r="WY53" i="7" s="1"/>
  <c r="WZ53" i="7" s="1"/>
  <c r="XA53" i="7" s="1"/>
  <c r="XB53" i="7" s="1"/>
  <c r="XC53" i="7" s="1"/>
  <c r="XD53" i="7" s="1"/>
  <c r="XE53" i="7" s="1"/>
  <c r="XF53" i="7" s="1"/>
  <c r="XG53" i="7" s="1"/>
  <c r="XH53" i="7" s="1"/>
  <c r="XI53" i="7" s="1"/>
  <c r="XJ53" i="7" s="1"/>
  <c r="XK53" i="7" s="1"/>
  <c r="XL53" i="7" s="1"/>
  <c r="XM53" i="7" s="1"/>
  <c r="XN53" i="7" s="1"/>
  <c r="XO53" i="7" s="1"/>
  <c r="XP53" i="7" s="1"/>
  <c r="XQ53" i="7" s="1"/>
  <c r="XR53" i="7" s="1"/>
  <c r="XS53" i="7" s="1"/>
  <c r="XT53" i="7" s="1"/>
  <c r="XU53" i="7" s="1"/>
  <c r="XV53" i="7" s="1"/>
  <c r="XW53" i="7" s="1"/>
  <c r="XX53" i="7" s="1"/>
  <c r="XY53" i="7" s="1"/>
  <c r="XZ53" i="7" s="1"/>
  <c r="YA53" i="7" s="1"/>
  <c r="YB53" i="7" s="1"/>
  <c r="YC53" i="7" s="1"/>
  <c r="YD53" i="7" s="1"/>
  <c r="YE53" i="7" s="1"/>
  <c r="YF53" i="7" s="1"/>
  <c r="YG53" i="7" s="1"/>
  <c r="YH53" i="7" s="1"/>
  <c r="YI53" i="7" s="1"/>
  <c r="YJ53" i="7" s="1"/>
  <c r="YK53" i="7" s="1"/>
  <c r="YL53" i="7" s="1"/>
  <c r="YM53" i="7" s="1"/>
  <c r="YN53" i="7" s="1"/>
  <c r="YO53" i="7" s="1"/>
  <c r="YP53" i="7" s="1"/>
  <c r="YQ53" i="7" s="1"/>
  <c r="YR53" i="7" s="1"/>
  <c r="YS53" i="7" s="1"/>
  <c r="YT53" i="7" s="1"/>
  <c r="YU53" i="7" s="1"/>
  <c r="YV53" i="7" s="1"/>
  <c r="YW53" i="7" s="1"/>
  <c r="YX53" i="7" s="1"/>
  <c r="YY53" i="7" s="1"/>
  <c r="YZ53" i="7" s="1"/>
  <c r="ZA53" i="7" s="1"/>
  <c r="ZB53" i="7" s="1"/>
  <c r="ZC53" i="7" s="1"/>
  <c r="ZD53" i="7" s="1"/>
  <c r="ZE53" i="7" s="1"/>
  <c r="ZF53" i="7" s="1"/>
  <c r="ZG53" i="7" s="1"/>
  <c r="ZH53" i="7" s="1"/>
  <c r="ZI53" i="7" s="1"/>
  <c r="ZJ53" i="7" s="1"/>
  <c r="ZK53" i="7" s="1"/>
  <c r="ZL53" i="7" s="1"/>
  <c r="ZM53" i="7" s="1"/>
  <c r="ZN53" i="7" s="1"/>
  <c r="ZO53" i="7" s="1"/>
  <c r="ZP53" i="7" s="1"/>
  <c r="ZQ53" i="7" s="1"/>
  <c r="ZR53" i="7" s="1"/>
  <c r="ZS53" i="7" s="1"/>
  <c r="ZT53" i="7" s="1"/>
  <c r="ZU53" i="7" s="1"/>
  <c r="ZV53" i="7" s="1"/>
  <c r="ZW53" i="7" s="1"/>
  <c r="ZX53" i="7" s="1"/>
  <c r="ZY53" i="7" s="1"/>
  <c r="ZZ53" i="7" s="1"/>
  <c r="AAA53" i="7" s="1"/>
  <c r="AAB53" i="7" s="1"/>
  <c r="AAC53" i="7" s="1"/>
  <c r="AAD53" i="7" s="1"/>
  <c r="AAE53" i="7" s="1"/>
  <c r="AAF53" i="7" s="1"/>
  <c r="AAG53" i="7" s="1"/>
  <c r="AAH53" i="7" s="1"/>
  <c r="AAI53" i="7" s="1"/>
  <c r="AAJ53" i="7" s="1"/>
  <c r="AAK53" i="7" s="1"/>
  <c r="AAL53" i="7" s="1"/>
  <c r="AAM53" i="7" s="1"/>
  <c r="AAN53" i="7" s="1"/>
  <c r="AAO53" i="7" s="1"/>
  <c r="AAP53" i="7" s="1"/>
  <c r="AAQ53" i="7" s="1"/>
  <c r="AAR53" i="7" s="1"/>
  <c r="AAS53" i="7" s="1"/>
  <c r="AAT53" i="7" s="1"/>
  <c r="AAU53" i="7" s="1"/>
  <c r="AAV53" i="7" s="1"/>
  <c r="AAW53" i="7" s="1"/>
  <c r="AAX53" i="7" s="1"/>
  <c r="AAY53" i="7" s="1"/>
  <c r="AAZ53" i="7" s="1"/>
  <c r="ABA53" i="7" s="1"/>
  <c r="ABB53" i="7" s="1"/>
  <c r="ABC53" i="7" s="1"/>
  <c r="ABD53" i="7" s="1"/>
  <c r="ABE53" i="7" s="1"/>
  <c r="ABF53" i="7" s="1"/>
  <c r="ABG53" i="7" s="1"/>
  <c r="ABH53" i="7" s="1"/>
  <c r="ABI53" i="7" s="1"/>
  <c r="ABJ53" i="7" s="1"/>
  <c r="ABK53" i="7" s="1"/>
  <c r="ABL53" i="7" s="1"/>
  <c r="ABM53" i="7" s="1"/>
  <c r="ABN53" i="7" s="1"/>
  <c r="ABO53" i="7" s="1"/>
  <c r="ABP53" i="7" s="1"/>
  <c r="ABQ53" i="7" s="1"/>
  <c r="ABR53" i="7" s="1"/>
  <c r="ABS53" i="7" s="1"/>
  <c r="ABT53" i="7" s="1"/>
  <c r="ABU53" i="7" s="1"/>
  <c r="ABV53" i="7" s="1"/>
  <c r="ABW53" i="7" s="1"/>
  <c r="ABX53" i="7" s="1"/>
  <c r="ABY53" i="7" s="1"/>
  <c r="ABZ53" i="7" s="1"/>
  <c r="ACA53" i="7" s="1"/>
  <c r="ACB53" i="7" s="1"/>
  <c r="ACC53" i="7" s="1"/>
  <c r="ACD53" i="7" s="1"/>
  <c r="ACE53" i="7" s="1"/>
  <c r="ACF53" i="7" s="1"/>
  <c r="ACG53" i="7" s="1"/>
  <c r="ACH53" i="7" s="1"/>
  <c r="ACI53" i="7" s="1"/>
  <c r="ACJ53" i="7" s="1"/>
  <c r="ACK53" i="7" s="1"/>
  <c r="ACL53" i="7" s="1"/>
  <c r="ACM53" i="7" s="1"/>
  <c r="ACN53" i="7" s="1"/>
  <c r="ACO53" i="7" s="1"/>
  <c r="ACP53" i="7" s="1"/>
  <c r="ACQ53" i="7" s="1"/>
  <c r="ACR53" i="7" s="1"/>
  <c r="ACS53" i="7" s="1"/>
  <c r="ACT53" i="7" s="1"/>
  <c r="ACU53" i="7" s="1"/>
  <c r="ACV53" i="7" s="1"/>
  <c r="ACW53" i="7" s="1"/>
  <c r="ACX53" i="7" s="1"/>
  <c r="ACY53" i="7" s="1"/>
  <c r="ACZ53" i="7" s="1"/>
  <c r="ADA53" i="7" s="1"/>
  <c r="ADB53" i="7" s="1"/>
  <c r="ADC53" i="7" s="1"/>
  <c r="ADD53" i="7" s="1"/>
  <c r="ADE53" i="7" s="1"/>
  <c r="ADF53" i="7" s="1"/>
  <c r="ADG53" i="7" s="1"/>
  <c r="ADH53" i="7" s="1"/>
  <c r="ADI53" i="7" s="1"/>
  <c r="ADJ53" i="7" s="1"/>
  <c r="ADK53" i="7" s="1"/>
  <c r="ADL53" i="7" s="1"/>
  <c r="ADM53" i="7" s="1"/>
  <c r="ADN53" i="7" s="1"/>
  <c r="ADO53" i="7" s="1"/>
  <c r="ADP53" i="7" s="1"/>
  <c r="ADQ53" i="7" s="1"/>
  <c r="ADR53" i="7" s="1"/>
  <c r="ADS53" i="7" s="1"/>
  <c r="ADT53" i="7" s="1"/>
  <c r="ADU53" i="7" s="1"/>
  <c r="ADV53" i="7" s="1"/>
  <c r="ADW53" i="7" s="1"/>
  <c r="ADX53" i="7" s="1"/>
  <c r="ADY53" i="7" s="1"/>
  <c r="ADZ53" i="7" s="1"/>
  <c r="AEA53" i="7" s="1"/>
  <c r="AEB53" i="7" s="1"/>
  <c r="AEC53" i="7" s="1"/>
  <c r="AED53" i="7" s="1"/>
  <c r="AEE53" i="7" s="1"/>
  <c r="AEF53" i="7" s="1"/>
  <c r="AEG53" i="7" s="1"/>
  <c r="AEH53" i="7" s="1"/>
  <c r="AEI53" i="7" s="1"/>
  <c r="AEJ53" i="7" s="1"/>
  <c r="AEK53" i="7" s="1"/>
  <c r="AEL53" i="7" s="1"/>
  <c r="AEM53" i="7" s="1"/>
  <c r="AEN53" i="7" s="1"/>
  <c r="AEO53" i="7" s="1"/>
  <c r="AEP53" i="7" s="1"/>
  <c r="AEQ53" i="7" s="1"/>
  <c r="AER53" i="7" s="1"/>
  <c r="AES53" i="7" s="1"/>
  <c r="AET53" i="7" s="1"/>
  <c r="AEU53" i="7" s="1"/>
  <c r="AEV53" i="7" s="1"/>
  <c r="AEW53" i="7" s="1"/>
  <c r="AEX53" i="7" s="1"/>
  <c r="AEY53" i="7" s="1"/>
  <c r="AEZ53" i="7" s="1"/>
  <c r="AFA53" i="7" s="1"/>
  <c r="AFB53" i="7" s="1"/>
  <c r="AFC53" i="7" s="1"/>
  <c r="AFD53" i="7" s="1"/>
  <c r="AFE53" i="7" s="1"/>
  <c r="AFF53" i="7" s="1"/>
  <c r="AFG53" i="7" s="1"/>
  <c r="AFH53" i="7" s="1"/>
  <c r="AFI53" i="7" s="1"/>
  <c r="AFJ53" i="7" s="1"/>
  <c r="AFK53" i="7" s="1"/>
  <c r="AFL53" i="7" s="1"/>
  <c r="AFM53" i="7" s="1"/>
  <c r="AFN53" i="7" s="1"/>
  <c r="AFO53" i="7" s="1"/>
  <c r="AFP53" i="7" s="1"/>
  <c r="AFQ53" i="7" s="1"/>
  <c r="AFR53" i="7" s="1"/>
  <c r="AFS53" i="7" s="1"/>
  <c r="AFT53" i="7" s="1"/>
  <c r="AFU53" i="7" s="1"/>
  <c r="AFV53" i="7" s="1"/>
  <c r="AFW53" i="7" s="1"/>
  <c r="AFX53" i="7" s="1"/>
  <c r="AFY53" i="7" s="1"/>
  <c r="AFZ53" i="7" s="1"/>
  <c r="AGA53" i="7" s="1"/>
  <c r="AGB53" i="7" s="1"/>
  <c r="AGC53" i="7" s="1"/>
  <c r="AGD53" i="7" s="1"/>
  <c r="AGE53" i="7" s="1"/>
  <c r="AGF53" i="7" s="1"/>
  <c r="AGG53" i="7" s="1"/>
  <c r="AGH53" i="7" s="1"/>
  <c r="AGI53" i="7" s="1"/>
  <c r="AGJ53" i="7" s="1"/>
  <c r="AGK53" i="7" s="1"/>
  <c r="AGL53" i="7" s="1"/>
  <c r="AGM53" i="7" s="1"/>
  <c r="AGN53" i="7" s="1"/>
  <c r="AGO53" i="7" s="1"/>
  <c r="AGP53" i="7" s="1"/>
  <c r="AGQ53" i="7" s="1"/>
  <c r="AGR53" i="7" s="1"/>
  <c r="AGS53" i="7" s="1"/>
  <c r="AGT53" i="7" s="1"/>
  <c r="AGU53" i="7" s="1"/>
  <c r="AGV53" i="7" s="1"/>
  <c r="AGW53" i="7" s="1"/>
  <c r="AGX53" i="7" s="1"/>
  <c r="AGY53" i="7" s="1"/>
  <c r="AGZ53" i="7" s="1"/>
  <c r="AHA53" i="7" s="1"/>
  <c r="AHB53" i="7" s="1"/>
  <c r="AHC53" i="7" s="1"/>
  <c r="AHD53" i="7" s="1"/>
  <c r="AHE53" i="7" s="1"/>
  <c r="AHF53" i="7" s="1"/>
  <c r="AHG53" i="7" s="1"/>
  <c r="AHH53" i="7" s="1"/>
  <c r="AHI53" i="7" s="1"/>
  <c r="AHJ53" i="7" s="1"/>
  <c r="AHK53" i="7" s="1"/>
  <c r="AHL53" i="7" s="1"/>
  <c r="AHM53" i="7" s="1"/>
  <c r="AHN53" i="7" s="1"/>
  <c r="AHO53" i="7" s="1"/>
  <c r="AHP53" i="7" s="1"/>
  <c r="AHQ53" i="7" s="1"/>
  <c r="AHR53" i="7" s="1"/>
  <c r="AHS53" i="7" s="1"/>
  <c r="AHT53" i="7" s="1"/>
  <c r="AHU53" i="7" s="1"/>
  <c r="AHV53" i="7" s="1"/>
  <c r="AHW53" i="7" s="1"/>
  <c r="AHX53" i="7" s="1"/>
  <c r="AHY53" i="7" s="1"/>
  <c r="AHZ53" i="7" s="1"/>
  <c r="AIA53" i="7" s="1"/>
  <c r="AIB53" i="7" s="1"/>
  <c r="AIC53" i="7" s="1"/>
  <c r="AID53" i="7" s="1"/>
  <c r="AIE53" i="7" s="1"/>
  <c r="AIF53" i="7" s="1"/>
  <c r="AIG53" i="7" s="1"/>
  <c r="AIH53" i="7" s="1"/>
  <c r="AII53" i="7" s="1"/>
  <c r="AIJ53" i="7" s="1"/>
  <c r="AIK53" i="7" s="1"/>
  <c r="AIL53" i="7" s="1"/>
  <c r="AIM53" i="7" s="1"/>
  <c r="AIN53" i="7" s="1"/>
  <c r="AIO53" i="7" s="1"/>
  <c r="AIP53" i="7" s="1"/>
  <c r="AIQ53" i="7" s="1"/>
  <c r="AIR53" i="7" s="1"/>
  <c r="AIS53" i="7" s="1"/>
  <c r="AIT53" i="7" s="1"/>
  <c r="AIU53" i="7" s="1"/>
  <c r="AIV53" i="7" s="1"/>
  <c r="AIW53" i="7" s="1"/>
  <c r="AIX53" i="7" s="1"/>
  <c r="AIY53" i="7" s="1"/>
  <c r="AIZ53" i="7" s="1"/>
  <c r="AJA53" i="7" s="1"/>
  <c r="AJB53" i="7" s="1"/>
  <c r="AJC53" i="7" s="1"/>
  <c r="AJD53" i="7" s="1"/>
  <c r="AJE53" i="7" s="1"/>
  <c r="AJF53" i="7" s="1"/>
  <c r="AJG53" i="7" s="1"/>
  <c r="AJH53" i="7" s="1"/>
  <c r="AJI53" i="7" s="1"/>
  <c r="AJJ53" i="7" s="1"/>
  <c r="AJK53" i="7" s="1"/>
  <c r="AJL53" i="7" s="1"/>
  <c r="AJM53" i="7" s="1"/>
  <c r="AJN53" i="7" s="1"/>
  <c r="AJO53" i="7" s="1"/>
  <c r="AJP53" i="7" s="1"/>
  <c r="AJQ53" i="7" s="1"/>
  <c r="AJR53" i="7" s="1"/>
  <c r="AJS53" i="7" s="1"/>
  <c r="AJT53" i="7" s="1"/>
  <c r="AJU53" i="7" s="1"/>
  <c r="AJV53" i="7" s="1"/>
  <c r="AJW53" i="7" s="1"/>
  <c r="AJX53" i="7" s="1"/>
  <c r="AJY53" i="7" s="1"/>
  <c r="AJZ53" i="7" s="1"/>
  <c r="AKA53" i="7" s="1"/>
  <c r="AKB53" i="7" s="1"/>
  <c r="AKC53" i="7" s="1"/>
  <c r="AKD53" i="7" s="1"/>
  <c r="AKE53" i="7" s="1"/>
  <c r="AKF53" i="7" s="1"/>
  <c r="AKG53" i="7" s="1"/>
  <c r="AKH53" i="7" s="1"/>
  <c r="AKI53" i="7" s="1"/>
  <c r="AKJ53" i="7" s="1"/>
  <c r="AKK53" i="7" s="1"/>
  <c r="AKL53" i="7" s="1"/>
  <c r="AKM53" i="7" s="1"/>
  <c r="AKN53" i="7" s="1"/>
  <c r="AKO53" i="7" s="1"/>
  <c r="AKP53" i="7" s="1"/>
  <c r="AKQ53" i="7" s="1"/>
  <c r="AKR53" i="7" s="1"/>
  <c r="AKS53" i="7" s="1"/>
  <c r="AKT53" i="7" s="1"/>
  <c r="AKU53" i="7" s="1"/>
  <c r="AKV53" i="7" s="1"/>
  <c r="AKW53" i="7" s="1"/>
  <c r="AKX53" i="7" s="1"/>
  <c r="AKY53" i="7" s="1"/>
  <c r="AKZ53" i="7" s="1"/>
  <c r="ALA53" i="7" s="1"/>
  <c r="ALB53" i="7" s="1"/>
  <c r="ALC53" i="7" s="1"/>
  <c r="ALD53" i="7" s="1"/>
  <c r="ALE53" i="7" s="1"/>
  <c r="ALF53" i="7" s="1"/>
  <c r="ALG53" i="7" s="1"/>
  <c r="ALH53" i="7" s="1"/>
  <c r="ALI53" i="7" s="1"/>
  <c r="ALJ53" i="7" s="1"/>
  <c r="ALK53" i="7" s="1"/>
  <c r="ALL53" i="7" s="1"/>
  <c r="ALM53" i="7" s="1"/>
  <c r="ALN53" i="7" s="1"/>
  <c r="ALO53" i="7" s="1"/>
  <c r="ALP53" i="7" s="1"/>
  <c r="ALQ53" i="7" s="1"/>
  <c r="ALR53" i="7" s="1"/>
  <c r="ALS53" i="7" s="1"/>
  <c r="ALT53" i="7" s="1"/>
  <c r="ALU53" i="7" s="1"/>
  <c r="ALV53" i="7" s="1"/>
  <c r="ALW53" i="7" s="1"/>
  <c r="ALX53" i="7" s="1"/>
  <c r="ALY53" i="7" s="1"/>
  <c r="ALZ53" i="7" s="1"/>
  <c r="AMA53" i="7" s="1"/>
  <c r="AMB53" i="7" s="1"/>
  <c r="AMC53" i="7" s="1"/>
  <c r="AMD53" i="7" s="1"/>
  <c r="AME53" i="7" s="1"/>
  <c r="AMF53" i="7" s="1"/>
  <c r="AMG53" i="7" s="1"/>
  <c r="AMH53" i="7" s="1"/>
  <c r="AMI53" i="7" s="1"/>
  <c r="AMJ53" i="7" s="1"/>
  <c r="AMK53" i="7" s="1"/>
  <c r="AML53" i="7" s="1"/>
  <c r="AMM53" i="7" s="1"/>
  <c r="AMN53" i="7" s="1"/>
  <c r="AMO53" i="7" s="1"/>
  <c r="AMP53" i="7" s="1"/>
  <c r="AMQ53" i="7" s="1"/>
  <c r="AMR53" i="7" s="1"/>
  <c r="AMS53" i="7" s="1"/>
  <c r="AMT53" i="7" s="1"/>
  <c r="AMU53" i="7" s="1"/>
  <c r="AMV53" i="7" s="1"/>
  <c r="AMW53" i="7" s="1"/>
  <c r="AMX53" i="7" s="1"/>
  <c r="AMY53" i="7" s="1"/>
  <c r="AMZ53" i="7" s="1"/>
  <c r="ANA53" i="7" s="1"/>
  <c r="ANB53" i="7" s="1"/>
  <c r="ANC53" i="7" s="1"/>
  <c r="AND53" i="7" s="1"/>
  <c r="ANE53" i="7" s="1"/>
  <c r="ANF53" i="7" s="1"/>
  <c r="ANG53" i="7" s="1"/>
  <c r="ANH53" i="7" s="1"/>
  <c r="ANI53" i="7" s="1"/>
  <c r="ANJ53" i="7" s="1"/>
  <c r="ANK53" i="7" s="1"/>
  <c r="ANL53" i="7" s="1"/>
  <c r="ANM53" i="7" s="1"/>
  <c r="ANN53" i="7" s="1"/>
  <c r="ANO53" i="7" s="1"/>
  <c r="ANP53" i="7" s="1"/>
  <c r="ANQ53" i="7" s="1"/>
  <c r="ANR53" i="7" s="1"/>
  <c r="ANS53" i="7" s="1"/>
  <c r="ANT53" i="7" s="1"/>
  <c r="ANU53" i="7" s="1"/>
  <c r="ANV53" i="7" s="1"/>
  <c r="ANW53" i="7" s="1"/>
  <c r="ANX53" i="7" s="1"/>
  <c r="ANY53" i="7" s="1"/>
  <c r="ANZ53" i="7" s="1"/>
  <c r="AOA53" i="7" s="1"/>
  <c r="AOB53" i="7" s="1"/>
  <c r="AOC53" i="7" s="1"/>
  <c r="AOD53" i="7" s="1"/>
  <c r="AOE53" i="7" s="1"/>
  <c r="AOF53" i="7" s="1"/>
  <c r="AOG53" i="7" s="1"/>
  <c r="AOH53" i="7" s="1"/>
  <c r="AOI53" i="7" s="1"/>
  <c r="AOJ53" i="7" s="1"/>
  <c r="AOK53" i="7" s="1"/>
  <c r="AOL53" i="7" s="1"/>
  <c r="AOM53" i="7" s="1"/>
  <c r="AON53" i="7" s="1"/>
  <c r="AOO53" i="7" s="1"/>
  <c r="AOP53" i="7" s="1"/>
  <c r="AOQ53" i="7" s="1"/>
  <c r="AOR53" i="7" s="1"/>
  <c r="AOS53" i="7" s="1"/>
  <c r="AOT53" i="7" s="1"/>
  <c r="AOU53" i="7" s="1"/>
  <c r="AOV53" i="7" s="1"/>
  <c r="AOW53" i="7" s="1"/>
  <c r="AOX53" i="7" s="1"/>
  <c r="AOY53" i="7" s="1"/>
  <c r="AOZ53" i="7" s="1"/>
  <c r="APA53" i="7" s="1"/>
  <c r="APB53" i="7" s="1"/>
  <c r="APC53" i="7" s="1"/>
  <c r="APD53" i="7" s="1"/>
  <c r="APE53" i="7" s="1"/>
  <c r="APF53" i="7" s="1"/>
  <c r="APG53" i="7" s="1"/>
  <c r="APH53" i="7" s="1"/>
  <c r="API53" i="7" s="1"/>
  <c r="APJ53" i="7" s="1"/>
  <c r="APK53" i="7" s="1"/>
  <c r="APL53" i="7" s="1"/>
  <c r="APM53" i="7" s="1"/>
  <c r="APN53" i="7" s="1"/>
  <c r="APO53" i="7" s="1"/>
  <c r="APP53" i="7" s="1"/>
  <c r="APQ53" i="7" s="1"/>
  <c r="APR53" i="7" s="1"/>
  <c r="APS53" i="7" s="1"/>
  <c r="APT53" i="7" s="1"/>
  <c r="APU53" i="7" s="1"/>
  <c r="APV53" i="7" s="1"/>
  <c r="APW53" i="7" s="1"/>
  <c r="APX53" i="7" s="1"/>
  <c r="APY53" i="7" s="1"/>
  <c r="APZ53" i="7" s="1"/>
  <c r="AQA53" i="7" s="1"/>
  <c r="AQB53" i="7" s="1"/>
  <c r="AQC53" i="7" s="1"/>
  <c r="AQD53" i="7" s="1"/>
  <c r="AQE53" i="7" s="1"/>
  <c r="AQF53" i="7" s="1"/>
  <c r="AQG53" i="7" s="1"/>
  <c r="AQH53" i="7" s="1"/>
  <c r="AQI53" i="7" s="1"/>
  <c r="AQJ53" i="7" s="1"/>
  <c r="AQK53" i="7" s="1"/>
  <c r="AQL53" i="7" s="1"/>
  <c r="AQM53" i="7" s="1"/>
  <c r="AQN53" i="7" s="1"/>
  <c r="AQO53" i="7" s="1"/>
  <c r="AQP53" i="7" s="1"/>
  <c r="AQQ53" i="7" s="1"/>
  <c r="AQR53" i="7" s="1"/>
  <c r="AQS53" i="7" s="1"/>
  <c r="AQT53" i="7" s="1"/>
  <c r="AQU53" i="7" s="1"/>
  <c r="AQV53" i="7" s="1"/>
  <c r="AQW53" i="7" s="1"/>
  <c r="AQX53" i="7" s="1"/>
  <c r="AQY53" i="7" s="1"/>
  <c r="AQZ53" i="7" s="1"/>
  <c r="ARA53" i="7" s="1"/>
  <c r="ARB53" i="7" s="1"/>
  <c r="ARC53" i="7" s="1"/>
  <c r="ARD53" i="7" s="1"/>
  <c r="ARE53" i="7" s="1"/>
  <c r="ARF53" i="7" s="1"/>
  <c r="ARG53" i="7" s="1"/>
  <c r="ARH53" i="7" s="1"/>
  <c r="ARI53" i="7" s="1"/>
  <c r="ARJ53" i="7" s="1"/>
  <c r="ARK53" i="7" s="1"/>
  <c r="ARL53" i="7" s="1"/>
  <c r="ARM53" i="7" s="1"/>
  <c r="ARN53" i="7" s="1"/>
  <c r="ARO53" i="7" s="1"/>
  <c r="ARP53" i="7" s="1"/>
  <c r="ARQ53" i="7" s="1"/>
  <c r="ARR53" i="7" s="1"/>
  <c r="ARS53" i="7" s="1"/>
  <c r="ART53" i="7" s="1"/>
  <c r="ARU53" i="7" s="1"/>
  <c r="ARV53" i="7" s="1"/>
  <c r="ARW53" i="7" s="1"/>
  <c r="ARX53" i="7" s="1"/>
  <c r="ARY53" i="7" s="1"/>
  <c r="ARZ53" i="7" s="1"/>
  <c r="ASA53" i="7" s="1"/>
  <c r="ASB53" i="7" s="1"/>
  <c r="ASC53" i="7" s="1"/>
  <c r="ASD53" i="7" s="1"/>
  <c r="ASE53" i="7" s="1"/>
  <c r="ASF53" i="7" s="1"/>
  <c r="ASG53" i="7" s="1"/>
  <c r="ASH53" i="7" s="1"/>
  <c r="ASI53" i="7" s="1"/>
  <c r="ASJ53" i="7" s="1"/>
  <c r="ASK53" i="7" s="1"/>
  <c r="ASL53" i="7" s="1"/>
  <c r="ASM53" i="7" s="1"/>
  <c r="ASN53" i="7" s="1"/>
  <c r="ASO53" i="7" s="1"/>
  <c r="ASP53" i="7" s="1"/>
  <c r="ASQ53" i="7" s="1"/>
  <c r="ASR53" i="7" s="1"/>
  <c r="ASS53" i="7" s="1"/>
  <c r="AST53" i="7" s="1"/>
  <c r="ASU53" i="7" s="1"/>
  <c r="ASV53" i="7" s="1"/>
  <c r="ASW53" i="7" s="1"/>
  <c r="ASX53" i="7" s="1"/>
  <c r="ASY53" i="7" s="1"/>
  <c r="ASZ53" i="7" s="1"/>
  <c r="ATA53" i="7" s="1"/>
  <c r="ATB53" i="7" s="1"/>
  <c r="ATC53" i="7" s="1"/>
  <c r="ATD53" i="7" s="1"/>
  <c r="ATE53" i="7" s="1"/>
  <c r="ATF53" i="7" s="1"/>
  <c r="ATG53" i="7" s="1"/>
  <c r="ATH53" i="7" s="1"/>
  <c r="ATI53" i="7" s="1"/>
  <c r="ATJ53" i="7" s="1"/>
  <c r="ATK53" i="7" s="1"/>
  <c r="ATL53" i="7" s="1"/>
  <c r="ATM53" i="7" s="1"/>
  <c r="ATN53" i="7" s="1"/>
  <c r="ATO53" i="7" s="1"/>
  <c r="ATP53" i="7" s="1"/>
  <c r="ATQ53" i="7" s="1"/>
  <c r="ATR53" i="7" s="1"/>
  <c r="ATS53" i="7" s="1"/>
  <c r="ATT53" i="7" s="1"/>
  <c r="ATU53" i="7" s="1"/>
  <c r="ATV53" i="7" s="1"/>
  <c r="ATW53" i="7" s="1"/>
  <c r="ATX53" i="7" s="1"/>
  <c r="ATY53" i="7" s="1"/>
  <c r="ATZ53" i="7" s="1"/>
  <c r="AUA53" i="7" s="1"/>
  <c r="AUB53" i="7" s="1"/>
  <c r="AUC53" i="7" s="1"/>
  <c r="AUD53" i="7" s="1"/>
  <c r="AUE53" i="7" s="1"/>
  <c r="AUF53" i="7" s="1"/>
  <c r="AUG53" i="7" s="1"/>
  <c r="AUH53" i="7" s="1"/>
  <c r="AUI53" i="7" s="1"/>
  <c r="AUJ53" i="7" s="1"/>
  <c r="AUK53" i="7" s="1"/>
  <c r="AUL53" i="7" s="1"/>
  <c r="AUM53" i="7" s="1"/>
  <c r="AUN53" i="7" s="1"/>
  <c r="AUO53" i="7" s="1"/>
  <c r="AUP53" i="7" s="1"/>
  <c r="AUQ53" i="7" s="1"/>
  <c r="AUR53" i="7" s="1"/>
  <c r="AUS53" i="7" s="1"/>
  <c r="AUT53" i="7" s="1"/>
  <c r="AUU53" i="7" s="1"/>
  <c r="AUV53" i="7" s="1"/>
  <c r="AUW53" i="7" s="1"/>
  <c r="AUX53" i="7" s="1"/>
  <c r="AUY53" i="7" s="1"/>
  <c r="AUZ53" i="7" s="1"/>
  <c r="AVA53" i="7" s="1"/>
  <c r="AVB53" i="7" s="1"/>
  <c r="AVC53" i="7" s="1"/>
  <c r="AVD53" i="7" s="1"/>
  <c r="AVE53" i="7" s="1"/>
  <c r="AVF53" i="7" s="1"/>
  <c r="AVG53" i="7" s="1"/>
  <c r="AVH53" i="7" s="1"/>
  <c r="AVI53" i="7" s="1"/>
  <c r="AVJ53" i="7" s="1"/>
  <c r="AVK53" i="7" s="1"/>
  <c r="AVL53" i="7" s="1"/>
  <c r="AVM53" i="7" s="1"/>
  <c r="AVN53" i="7" s="1"/>
  <c r="AVO53" i="7" s="1"/>
  <c r="AVP53" i="7" s="1"/>
  <c r="AVQ53" i="7" s="1"/>
  <c r="AVR53" i="7" s="1"/>
  <c r="AVS53" i="7" s="1"/>
  <c r="AVT53" i="7" s="1"/>
  <c r="AVU53" i="7" s="1"/>
  <c r="AVV53" i="7" s="1"/>
  <c r="AVW53" i="7" s="1"/>
  <c r="AVX53" i="7" s="1"/>
  <c r="AVY53" i="7" s="1"/>
  <c r="AVZ53" i="7" s="1"/>
  <c r="AWA53" i="7" s="1"/>
  <c r="AWB53" i="7" s="1"/>
  <c r="AWC53" i="7" s="1"/>
  <c r="AWD53" i="7" s="1"/>
  <c r="AWE53" i="7" s="1"/>
  <c r="AWF53" i="7" s="1"/>
  <c r="AWG53" i="7" s="1"/>
  <c r="AWH53" i="7" s="1"/>
  <c r="AWI53" i="7" s="1"/>
  <c r="AWJ53" i="7" s="1"/>
  <c r="AWK53" i="7" s="1"/>
  <c r="AWL53" i="7" s="1"/>
  <c r="AWM53" i="7" s="1"/>
  <c r="AWN53" i="7" s="1"/>
  <c r="AWO53" i="7" s="1"/>
  <c r="AWP53" i="7" s="1"/>
  <c r="AWQ53" i="7" s="1"/>
  <c r="AWR53" i="7" s="1"/>
  <c r="AWS53" i="7" s="1"/>
  <c r="AWT53" i="7" s="1"/>
  <c r="AWU53" i="7" s="1"/>
  <c r="AWV53" i="7" s="1"/>
  <c r="AWW53" i="7" s="1"/>
  <c r="AWX53" i="7" s="1"/>
  <c r="AWY53" i="7" s="1"/>
  <c r="AWZ53" i="7" s="1"/>
  <c r="AXA53" i="7" s="1"/>
  <c r="AXB53" i="7" s="1"/>
  <c r="AXC53" i="7" s="1"/>
  <c r="AXD53" i="7" s="1"/>
  <c r="AXE53" i="7" s="1"/>
  <c r="AXF53" i="7" s="1"/>
  <c r="AXG53" i="7" s="1"/>
  <c r="AXH53" i="7" s="1"/>
  <c r="AXI53" i="7" s="1"/>
  <c r="AXJ53" i="7" s="1"/>
  <c r="AXK53" i="7" s="1"/>
  <c r="AXL53" i="7" s="1"/>
  <c r="AXM53" i="7" s="1"/>
  <c r="AXN53" i="7" s="1"/>
  <c r="AXO53" i="7" s="1"/>
  <c r="AXP53" i="7" s="1"/>
  <c r="AXQ53" i="7" s="1"/>
  <c r="AXR53" i="7" s="1"/>
  <c r="AXS53" i="7" s="1"/>
  <c r="AXT53" i="7" s="1"/>
  <c r="AXU53" i="7" s="1"/>
  <c r="AXV53" i="7" s="1"/>
  <c r="AXW53" i="7" s="1"/>
  <c r="AXX53" i="7" s="1"/>
  <c r="AXY53" i="7" s="1"/>
  <c r="AXZ53" i="7" s="1"/>
  <c r="AYA53" i="7" s="1"/>
  <c r="AYB53" i="7" s="1"/>
  <c r="AYC53" i="7" s="1"/>
  <c r="AYD53" i="7" s="1"/>
  <c r="AYE53" i="7" s="1"/>
  <c r="AYF53" i="7" s="1"/>
  <c r="AYG53" i="7" s="1"/>
  <c r="AYH53" i="7" s="1"/>
  <c r="AYI53" i="7" s="1"/>
  <c r="AYJ53" i="7" s="1"/>
  <c r="AYK53" i="7" s="1"/>
  <c r="AYL53" i="7" s="1"/>
  <c r="AYM53" i="7" s="1"/>
  <c r="AYN53" i="7" s="1"/>
  <c r="AYO53" i="7" s="1"/>
  <c r="AYP53" i="7" s="1"/>
  <c r="AYQ53" i="7" s="1"/>
  <c r="AYR53" i="7" s="1"/>
  <c r="AYS53" i="7" s="1"/>
  <c r="AYT53" i="7" s="1"/>
  <c r="AYU53" i="7" s="1"/>
  <c r="AYV53" i="7" s="1"/>
  <c r="AYW53" i="7" s="1"/>
  <c r="AYX53" i="7" s="1"/>
  <c r="AYY53" i="7" s="1"/>
  <c r="AYZ53" i="7" s="1"/>
  <c r="AZA53" i="7" s="1"/>
  <c r="AZB53" i="7" s="1"/>
  <c r="AZC53" i="7" s="1"/>
  <c r="AZD53" i="7" s="1"/>
  <c r="AZE53" i="7" s="1"/>
  <c r="AZF53" i="7" s="1"/>
  <c r="AZG53" i="7" s="1"/>
  <c r="AZH53" i="7" s="1"/>
  <c r="AZI53" i="7" s="1"/>
  <c r="AZJ53" i="7" s="1"/>
  <c r="AZK53" i="7" s="1"/>
  <c r="AZL53" i="7" s="1"/>
  <c r="AZM53" i="7" s="1"/>
  <c r="AZN53" i="7" s="1"/>
  <c r="AZO53" i="7" s="1"/>
  <c r="AZP53" i="7" s="1"/>
  <c r="AZQ53" i="7" s="1"/>
  <c r="AZR53" i="7" s="1"/>
  <c r="AZS53" i="7" s="1"/>
  <c r="AZT53" i="7" s="1"/>
  <c r="AZU53" i="7" s="1"/>
  <c r="AZV53" i="7" s="1"/>
  <c r="AZW53" i="7" s="1"/>
  <c r="AZX53" i="7" s="1"/>
  <c r="AZY53" i="7" s="1"/>
  <c r="AZZ53" i="7" s="1"/>
  <c r="BAA53" i="7" s="1"/>
  <c r="BAB53" i="7" s="1"/>
  <c r="BAC53" i="7" s="1"/>
  <c r="BAD53" i="7" s="1"/>
  <c r="BAE53" i="7" s="1"/>
  <c r="BAF53" i="7" s="1"/>
  <c r="BAG53" i="7" s="1"/>
  <c r="BAH53" i="7" s="1"/>
  <c r="BAI53" i="7" s="1"/>
  <c r="BAJ53" i="7" s="1"/>
  <c r="BAK53" i="7" s="1"/>
  <c r="BAL53" i="7" s="1"/>
  <c r="BAM53" i="7" s="1"/>
  <c r="BAN53" i="7" s="1"/>
  <c r="BAO53" i="7" s="1"/>
  <c r="BAP53" i="7" s="1"/>
  <c r="BAQ53" i="7" s="1"/>
  <c r="BAR53" i="7" s="1"/>
  <c r="BAS53" i="7" s="1"/>
  <c r="BAT53" i="7" s="1"/>
  <c r="BAU53" i="7" s="1"/>
  <c r="BAV53" i="7" s="1"/>
  <c r="BAW53" i="7" s="1"/>
  <c r="BAX53" i="7" s="1"/>
  <c r="BAY53" i="7" s="1"/>
  <c r="BAZ53" i="7" s="1"/>
  <c r="BBA53" i="7" s="1"/>
  <c r="BBB53" i="7" s="1"/>
  <c r="BBC53" i="7" s="1"/>
  <c r="BBD53" i="7" s="1"/>
  <c r="BBE53" i="7" s="1"/>
  <c r="BBF53" i="7" s="1"/>
  <c r="BBG53" i="7" s="1"/>
  <c r="BBH53" i="7" s="1"/>
  <c r="BBI53" i="7" s="1"/>
  <c r="BBJ53" i="7" s="1"/>
  <c r="BBK53" i="7" s="1"/>
  <c r="BBL53" i="7" s="1"/>
  <c r="BBM53" i="7" s="1"/>
  <c r="BBN53" i="7" s="1"/>
  <c r="BBO53" i="7" s="1"/>
  <c r="BBP53" i="7" s="1"/>
  <c r="BBQ53" i="7" s="1"/>
  <c r="BBR53" i="7" s="1"/>
  <c r="BBS53" i="7" s="1"/>
  <c r="BBT53" i="7" s="1"/>
  <c r="BBU53" i="7" s="1"/>
  <c r="BBV53" i="7" s="1"/>
  <c r="BBW53" i="7" s="1"/>
  <c r="BBX53" i="7" s="1"/>
  <c r="BBY53" i="7" s="1"/>
  <c r="BBZ53" i="7" s="1"/>
  <c r="BCA53" i="7" s="1"/>
  <c r="BCB53" i="7" s="1"/>
  <c r="BCC53" i="7" s="1"/>
  <c r="BCD53" i="7" s="1"/>
  <c r="BCE53" i="7" s="1"/>
  <c r="BCF53" i="7" s="1"/>
  <c r="BCG53" i="7" s="1"/>
  <c r="BCH53" i="7" s="1"/>
  <c r="BCI53" i="7" s="1"/>
  <c r="BCJ53" i="7" s="1"/>
  <c r="BCK53" i="7" s="1"/>
  <c r="BCL53" i="7" s="1"/>
  <c r="BCM53" i="7" s="1"/>
  <c r="BCN53" i="7" s="1"/>
  <c r="BCO53" i="7" s="1"/>
  <c r="BCP53" i="7" s="1"/>
  <c r="BCQ53" i="7" s="1"/>
  <c r="BCR53" i="7" s="1"/>
  <c r="BCS53" i="7" s="1"/>
  <c r="BCT53" i="7" s="1"/>
  <c r="BCU53" i="7" s="1"/>
  <c r="BCV53" i="7" s="1"/>
  <c r="BCW53" i="7" s="1"/>
  <c r="BCX53" i="7" s="1"/>
  <c r="BCY53" i="7" s="1"/>
  <c r="BCZ53" i="7" s="1"/>
  <c r="BDA53" i="7" s="1"/>
  <c r="BDB53" i="7" s="1"/>
  <c r="BDC53" i="7" s="1"/>
  <c r="BDD53" i="7" s="1"/>
  <c r="BDE53" i="7" s="1"/>
  <c r="BDF53" i="7" s="1"/>
  <c r="BDG53" i="7" s="1"/>
  <c r="BDH53" i="7" s="1"/>
  <c r="BDI53" i="7" s="1"/>
  <c r="BDJ53" i="7" s="1"/>
  <c r="BDK53" i="7" s="1"/>
  <c r="BDL53" i="7" s="1"/>
  <c r="BDM53" i="7" s="1"/>
  <c r="BDN53" i="7" s="1"/>
  <c r="BDO53" i="7" s="1"/>
  <c r="BDP53" i="7" s="1"/>
  <c r="BDQ53" i="7" s="1"/>
  <c r="BDR53" i="7" s="1"/>
  <c r="BDS53" i="7" s="1"/>
  <c r="BDT53" i="7" s="1"/>
  <c r="BDU53" i="7" s="1"/>
  <c r="BDV53" i="7" s="1"/>
  <c r="BDW53" i="7" s="1"/>
  <c r="BDX53" i="7" s="1"/>
  <c r="BDY53" i="7" s="1"/>
  <c r="BDZ53" i="7" s="1"/>
  <c r="BEA53" i="7" s="1"/>
  <c r="BEB53" i="7" s="1"/>
  <c r="BEC53" i="7" s="1"/>
  <c r="BED53" i="7" s="1"/>
  <c r="BEE53" i="7" s="1"/>
  <c r="BEF53" i="7" s="1"/>
  <c r="BEG53" i="7" s="1"/>
  <c r="BEH53" i="7" s="1"/>
  <c r="BEI53" i="7" s="1"/>
  <c r="BEJ53" i="7" s="1"/>
  <c r="BEK53" i="7" s="1"/>
  <c r="BEL53" i="7" s="1"/>
  <c r="BEM53" i="7" s="1"/>
  <c r="BEN53" i="7" s="1"/>
  <c r="BEO53" i="7" s="1"/>
  <c r="BEP53" i="7" s="1"/>
  <c r="BEQ53" i="7" s="1"/>
  <c r="BER53" i="7" s="1"/>
  <c r="BES53" i="7" s="1"/>
  <c r="BET53" i="7" s="1"/>
  <c r="BEU53" i="7" s="1"/>
  <c r="BEV53" i="7" s="1"/>
  <c r="BEW53" i="7" s="1"/>
  <c r="BEX53" i="7" s="1"/>
  <c r="BEY53" i="7" s="1"/>
  <c r="BEZ53" i="7" s="1"/>
  <c r="BFA53" i="7" s="1"/>
  <c r="BFB53" i="7" s="1"/>
  <c r="BFC53" i="7" s="1"/>
  <c r="BFD53" i="7" s="1"/>
  <c r="BFE53" i="7" s="1"/>
  <c r="BFF53" i="7" s="1"/>
  <c r="BFG53" i="7" s="1"/>
  <c r="BFH53" i="7" s="1"/>
  <c r="BFI53" i="7" s="1"/>
  <c r="BFJ53" i="7" s="1"/>
  <c r="BFK53" i="7" s="1"/>
  <c r="BFL53" i="7" s="1"/>
  <c r="BFM53" i="7" s="1"/>
  <c r="BFN53" i="7" s="1"/>
  <c r="BFO53" i="7" s="1"/>
  <c r="BFP53" i="7" s="1"/>
  <c r="BFQ53" i="7" s="1"/>
  <c r="BFR53" i="7" s="1"/>
  <c r="BFS53" i="7" s="1"/>
  <c r="BFT53" i="7" s="1"/>
  <c r="BFU53" i="7" s="1"/>
  <c r="BFV53" i="7" s="1"/>
  <c r="BFW53" i="7" s="1"/>
  <c r="BFX53" i="7" s="1"/>
  <c r="BFY53" i="7" s="1"/>
  <c r="BFZ53" i="7" s="1"/>
  <c r="BGA53" i="7" s="1"/>
  <c r="BGB53" i="7" s="1"/>
  <c r="BGC53" i="7" s="1"/>
  <c r="BGD53" i="7" s="1"/>
  <c r="BGE53" i="7" s="1"/>
  <c r="BGF53" i="7" s="1"/>
  <c r="BGG53" i="7" s="1"/>
  <c r="BGH53" i="7" s="1"/>
  <c r="BGI53" i="7" s="1"/>
  <c r="BGJ53" i="7" s="1"/>
  <c r="BGK53" i="7" s="1"/>
  <c r="BGL53" i="7" s="1"/>
  <c r="BGM53" i="7" s="1"/>
  <c r="BGN53" i="7" s="1"/>
  <c r="BGO53" i="7" s="1"/>
  <c r="BGP53" i="7" s="1"/>
  <c r="BGQ53" i="7" s="1"/>
  <c r="BGR53" i="7" s="1"/>
  <c r="BGS53" i="7" s="1"/>
  <c r="BGT53" i="7" s="1"/>
  <c r="BGU53" i="7" s="1"/>
  <c r="BGV53" i="7" s="1"/>
  <c r="BGW53" i="7" s="1"/>
  <c r="BGX53" i="7" s="1"/>
  <c r="BGY53" i="7" s="1"/>
  <c r="BGZ53" i="7" s="1"/>
  <c r="BHA53" i="7" s="1"/>
  <c r="BHB53" i="7" s="1"/>
  <c r="BHC53" i="7" s="1"/>
  <c r="BHD53" i="7" s="1"/>
  <c r="BHE53" i="7" s="1"/>
  <c r="BHF53" i="7" s="1"/>
  <c r="BHG53" i="7" s="1"/>
  <c r="BHH53" i="7" s="1"/>
  <c r="BHI53" i="7" s="1"/>
  <c r="BHJ53" i="7" s="1"/>
  <c r="BHK53" i="7" s="1"/>
  <c r="BHL53" i="7" s="1"/>
  <c r="BHM53" i="7" s="1"/>
  <c r="BHN53" i="7" s="1"/>
  <c r="BHO53" i="7" s="1"/>
  <c r="BHP53" i="7" s="1"/>
  <c r="BHQ53" i="7" s="1"/>
  <c r="BHR53" i="7" s="1"/>
  <c r="BHS53" i="7" s="1"/>
  <c r="BHT53" i="7" s="1"/>
  <c r="BHU53" i="7" s="1"/>
  <c r="BHV53" i="7" s="1"/>
  <c r="BHW53" i="7" s="1"/>
  <c r="BHX53" i="7" s="1"/>
  <c r="BHY53" i="7" s="1"/>
  <c r="BHZ53" i="7" s="1"/>
  <c r="BIA53" i="7" s="1"/>
  <c r="BIB53" i="7" s="1"/>
  <c r="BIC53" i="7" s="1"/>
  <c r="BID53" i="7" s="1"/>
  <c r="BIE53" i="7" s="1"/>
  <c r="BIF53" i="7" s="1"/>
  <c r="BIG53" i="7" s="1"/>
  <c r="BIH53" i="7" s="1"/>
  <c r="BII53" i="7" s="1"/>
  <c r="BIJ53" i="7" s="1"/>
  <c r="BIK53" i="7" s="1"/>
  <c r="BIL53" i="7" s="1"/>
  <c r="BIM53" i="7" s="1"/>
  <c r="BIN53" i="7" s="1"/>
  <c r="BIO53" i="7" s="1"/>
  <c r="BIP53" i="7" s="1"/>
  <c r="BIQ53" i="7" s="1"/>
  <c r="BIR53" i="7" s="1"/>
  <c r="BIS53" i="7" s="1"/>
  <c r="BIT53" i="7" s="1"/>
  <c r="BIU53" i="7" s="1"/>
  <c r="BIV53" i="7" s="1"/>
  <c r="BIW53" i="7" s="1"/>
  <c r="BIX53" i="7" s="1"/>
  <c r="BIY53" i="7" s="1"/>
  <c r="BIZ53" i="7" s="1"/>
  <c r="BJA53" i="7" s="1"/>
  <c r="BJB53" i="7" s="1"/>
  <c r="BJC53" i="7" s="1"/>
  <c r="BJD53" i="7" s="1"/>
  <c r="BJE53" i="7" s="1"/>
  <c r="BJF53" i="7" s="1"/>
  <c r="BJG53" i="7" s="1"/>
  <c r="BJH53" i="7" s="1"/>
  <c r="BJI53" i="7" s="1"/>
  <c r="BJJ53" i="7" s="1"/>
  <c r="BJK53" i="7" s="1"/>
  <c r="BJL53" i="7" s="1"/>
  <c r="BJM53" i="7" s="1"/>
  <c r="BJN53" i="7" s="1"/>
  <c r="BJO53" i="7" s="1"/>
  <c r="BJP53" i="7" s="1"/>
  <c r="BJQ53" i="7" s="1"/>
  <c r="BJR53" i="7" s="1"/>
  <c r="BJS53" i="7" s="1"/>
  <c r="BJT53" i="7" s="1"/>
  <c r="BJU53" i="7" s="1"/>
  <c r="BJV53" i="7" s="1"/>
  <c r="BJW53" i="7" s="1"/>
  <c r="BJX53" i="7" s="1"/>
  <c r="BJY53" i="7" s="1"/>
  <c r="BJZ53" i="7" s="1"/>
  <c r="BKA53" i="7" s="1"/>
  <c r="BKB53" i="7" s="1"/>
  <c r="BKC53" i="7" s="1"/>
  <c r="BKD53" i="7" s="1"/>
  <c r="BKE53" i="7" s="1"/>
  <c r="BKF53" i="7" s="1"/>
  <c r="BKG53" i="7" s="1"/>
  <c r="BKH53" i="7" s="1"/>
  <c r="BKI53" i="7" s="1"/>
  <c r="BKJ53" i="7" s="1"/>
  <c r="BKK53" i="7" s="1"/>
  <c r="BKL53" i="7" s="1"/>
  <c r="BKM53" i="7" s="1"/>
  <c r="BKN53" i="7" s="1"/>
  <c r="BKO53" i="7" s="1"/>
  <c r="BKP53" i="7" s="1"/>
  <c r="BKQ53" i="7" s="1"/>
  <c r="BKR53" i="7" s="1"/>
  <c r="BKS53" i="7" s="1"/>
  <c r="BKT53" i="7" s="1"/>
  <c r="BKU53" i="7" s="1"/>
  <c r="BKV53" i="7" s="1"/>
  <c r="BKW53" i="7" s="1"/>
  <c r="BKX53" i="7" s="1"/>
  <c r="BKY53" i="7" s="1"/>
  <c r="BKZ53" i="7" s="1"/>
  <c r="BLA53" i="7" s="1"/>
  <c r="BLB53" i="7" s="1"/>
  <c r="BLC53" i="7" s="1"/>
  <c r="BLD53" i="7" s="1"/>
  <c r="BLE53" i="7" s="1"/>
  <c r="BLF53" i="7" s="1"/>
  <c r="BLG53" i="7" s="1"/>
  <c r="BLH53" i="7" s="1"/>
  <c r="BLI53" i="7" s="1"/>
  <c r="BLJ53" i="7" s="1"/>
  <c r="BLK53" i="7" s="1"/>
  <c r="BLL53" i="7" s="1"/>
  <c r="BLM53" i="7" s="1"/>
  <c r="BLN53" i="7" s="1"/>
  <c r="BLO53" i="7" s="1"/>
  <c r="BLP53" i="7" s="1"/>
  <c r="BLQ53" i="7" s="1"/>
  <c r="BLR53" i="7" s="1"/>
  <c r="BLS53" i="7" s="1"/>
  <c r="BLT53" i="7" s="1"/>
  <c r="BLU53" i="7" s="1"/>
  <c r="BLV53" i="7" s="1"/>
  <c r="BLW53" i="7" s="1"/>
  <c r="BLX53" i="7" s="1"/>
  <c r="BLY53" i="7" s="1"/>
  <c r="BLZ53" i="7" s="1"/>
  <c r="BMA53" i="7" s="1"/>
  <c r="BMB53" i="7" s="1"/>
  <c r="BMC53" i="7" s="1"/>
  <c r="BMD53" i="7" s="1"/>
  <c r="BME53" i="7" s="1"/>
  <c r="BMF53" i="7" s="1"/>
  <c r="BMG53" i="7" s="1"/>
  <c r="BMH53" i="7" s="1"/>
  <c r="BMI53" i="7" s="1"/>
  <c r="BMJ53" i="7" s="1"/>
  <c r="BMK53" i="7" s="1"/>
  <c r="BML53" i="7" s="1"/>
  <c r="BMM53" i="7" s="1"/>
  <c r="BMN53" i="7" s="1"/>
  <c r="BMO53" i="7" s="1"/>
  <c r="BMP53" i="7" s="1"/>
  <c r="BMQ53" i="7" s="1"/>
  <c r="BMR53" i="7" s="1"/>
  <c r="BMS53" i="7" s="1"/>
  <c r="BMT53" i="7" s="1"/>
  <c r="BMU53" i="7" s="1"/>
  <c r="BMV53" i="7" s="1"/>
  <c r="BMW53" i="7" s="1"/>
  <c r="BMX53" i="7" s="1"/>
  <c r="BMY53" i="7" s="1"/>
  <c r="BMZ53" i="7" s="1"/>
  <c r="BNA53" i="7" s="1"/>
  <c r="BNB53" i="7" s="1"/>
  <c r="BNC53" i="7" s="1"/>
  <c r="BND53" i="7" s="1"/>
  <c r="BNE53" i="7" s="1"/>
  <c r="BNF53" i="7" s="1"/>
  <c r="BNG53" i="7" s="1"/>
  <c r="BNH53" i="7" s="1"/>
  <c r="BNI53" i="7" s="1"/>
  <c r="BNJ53" i="7" s="1"/>
  <c r="BNK53" i="7" s="1"/>
  <c r="BNL53" i="7" s="1"/>
  <c r="BNM53" i="7" s="1"/>
  <c r="BNN53" i="7" s="1"/>
  <c r="BNO53" i="7" s="1"/>
  <c r="BNP53" i="7" s="1"/>
  <c r="BNQ53" i="7" s="1"/>
  <c r="BNR53" i="7" s="1"/>
  <c r="BNS53" i="7" s="1"/>
  <c r="BNT53" i="7" s="1"/>
  <c r="BNU53" i="7" s="1"/>
  <c r="BNV53" i="7" s="1"/>
  <c r="BNW53" i="7" s="1"/>
  <c r="BNX53" i="7" s="1"/>
  <c r="BNY53" i="7" s="1"/>
  <c r="BNZ53" i="7" s="1"/>
  <c r="BOA53" i="7" s="1"/>
  <c r="BOB53" i="7" s="1"/>
  <c r="BOC53" i="7" s="1"/>
  <c r="BOD53" i="7" s="1"/>
  <c r="BOE53" i="7" s="1"/>
  <c r="BOF53" i="7" s="1"/>
  <c r="BOG53" i="7" s="1"/>
  <c r="BOH53" i="7" s="1"/>
  <c r="BOI53" i="7" s="1"/>
  <c r="BOJ53" i="7" s="1"/>
  <c r="BOK53" i="7" s="1"/>
  <c r="BOL53" i="7" s="1"/>
  <c r="BOM53" i="7" s="1"/>
  <c r="BON53" i="7" s="1"/>
  <c r="BOO53" i="7" s="1"/>
  <c r="BOP53" i="7" s="1"/>
  <c r="BOQ53" i="7" s="1"/>
  <c r="BOR53" i="7" s="1"/>
  <c r="BOS53" i="7" s="1"/>
  <c r="BOT53" i="7" s="1"/>
  <c r="BOU53" i="7" s="1"/>
  <c r="BOV53" i="7" s="1"/>
  <c r="BOW53" i="7" s="1"/>
  <c r="BOX53" i="7" s="1"/>
  <c r="BOY53" i="7" s="1"/>
  <c r="BOZ53" i="7" s="1"/>
  <c r="BPA53" i="7" s="1"/>
  <c r="BPB53" i="7" s="1"/>
  <c r="BPC53" i="7" s="1"/>
  <c r="BPD53" i="7" s="1"/>
  <c r="BPE53" i="7" s="1"/>
  <c r="BPF53" i="7" s="1"/>
  <c r="BPG53" i="7" s="1"/>
  <c r="BPH53" i="7" s="1"/>
  <c r="BPI53" i="7" s="1"/>
  <c r="BPJ53" i="7" s="1"/>
  <c r="BPK53" i="7" s="1"/>
  <c r="BPL53" i="7" s="1"/>
  <c r="BPM53" i="7" s="1"/>
  <c r="BPN53" i="7" s="1"/>
  <c r="BPO53" i="7" s="1"/>
  <c r="BPP53" i="7" s="1"/>
  <c r="BPQ53" i="7" s="1"/>
  <c r="BPR53" i="7" s="1"/>
  <c r="BPS53" i="7" s="1"/>
  <c r="BPT53" i="7" s="1"/>
  <c r="BPU53" i="7" s="1"/>
  <c r="BPV53" i="7" s="1"/>
  <c r="BPW53" i="7" s="1"/>
  <c r="BPX53" i="7" s="1"/>
  <c r="BPY53" i="7" s="1"/>
  <c r="BPZ53" i="7" s="1"/>
  <c r="BQA53" i="7" s="1"/>
  <c r="BQB53" i="7" s="1"/>
  <c r="BQC53" i="7" s="1"/>
  <c r="BQD53" i="7" s="1"/>
  <c r="BQE53" i="7" s="1"/>
  <c r="BQF53" i="7" s="1"/>
  <c r="BQG53" i="7" s="1"/>
  <c r="BQH53" i="7" s="1"/>
  <c r="BQI53" i="7" s="1"/>
  <c r="BQJ53" i="7" s="1"/>
  <c r="BQK53" i="7" s="1"/>
  <c r="BQL53" i="7" s="1"/>
  <c r="BQM53" i="7" s="1"/>
  <c r="BQN53" i="7" s="1"/>
  <c r="BQO53" i="7" s="1"/>
  <c r="BQP53" i="7" s="1"/>
  <c r="BQQ53" i="7" s="1"/>
  <c r="BQR53" i="7" s="1"/>
  <c r="BQS53" i="7" s="1"/>
  <c r="BQT53" i="7" s="1"/>
  <c r="BQU53" i="7" s="1"/>
  <c r="BQV53" i="7" s="1"/>
  <c r="BQW53" i="7" s="1"/>
  <c r="BQX53" i="7" s="1"/>
  <c r="BQY53" i="7" s="1"/>
  <c r="BQZ53" i="7" s="1"/>
  <c r="BRA53" i="7" s="1"/>
  <c r="BRB53" i="7" s="1"/>
  <c r="BRC53" i="7" s="1"/>
  <c r="BRD53" i="7" s="1"/>
  <c r="BRE53" i="7" s="1"/>
  <c r="BRF53" i="7" s="1"/>
  <c r="BRG53" i="7" s="1"/>
  <c r="BRH53" i="7" s="1"/>
  <c r="BRI53" i="7" s="1"/>
  <c r="BRJ53" i="7" s="1"/>
  <c r="BRK53" i="7" s="1"/>
  <c r="BRL53" i="7" s="1"/>
  <c r="BRM53" i="7" s="1"/>
  <c r="BRN53" i="7" s="1"/>
  <c r="BRO53" i="7" s="1"/>
  <c r="BRP53" i="7" s="1"/>
  <c r="BRQ53" i="7" s="1"/>
  <c r="BRR53" i="7" s="1"/>
  <c r="BRS53" i="7" s="1"/>
  <c r="BRT53" i="7" s="1"/>
  <c r="BRU53" i="7" s="1"/>
  <c r="BRV53" i="7" s="1"/>
  <c r="BRW53" i="7" s="1"/>
  <c r="BRX53" i="7" s="1"/>
  <c r="BRY53" i="7" s="1"/>
  <c r="BRZ53" i="7" s="1"/>
  <c r="BSA53" i="7" s="1"/>
  <c r="BSB53" i="7" s="1"/>
  <c r="BSC53" i="7" s="1"/>
  <c r="BSD53" i="7" s="1"/>
  <c r="BSE53" i="7" s="1"/>
  <c r="BSF53" i="7" s="1"/>
  <c r="BSG53" i="7" s="1"/>
  <c r="BSH53" i="7" s="1"/>
  <c r="BSI53" i="7" s="1"/>
  <c r="BSJ53" i="7" s="1"/>
  <c r="BSK53" i="7" s="1"/>
  <c r="BSL53" i="7" s="1"/>
  <c r="BSM53" i="7" s="1"/>
  <c r="BSN53" i="7" s="1"/>
  <c r="BSO53" i="7" s="1"/>
  <c r="BSP53" i="7" s="1"/>
  <c r="BSQ53" i="7" s="1"/>
  <c r="BSR53" i="7" s="1"/>
  <c r="BSS53" i="7" s="1"/>
  <c r="BST53" i="7" s="1"/>
  <c r="BSU53" i="7" s="1"/>
  <c r="BSV53" i="7" s="1"/>
  <c r="BSW53" i="7" s="1"/>
  <c r="BSX53" i="7" s="1"/>
  <c r="BSY53" i="7" s="1"/>
  <c r="BSZ53" i="7" s="1"/>
  <c r="BTA53" i="7" s="1"/>
  <c r="BTB53" i="7" s="1"/>
  <c r="BTC53" i="7" s="1"/>
  <c r="BTD53" i="7" s="1"/>
  <c r="BTE53" i="7" s="1"/>
  <c r="BTF53" i="7" s="1"/>
  <c r="BTG53" i="7" s="1"/>
  <c r="BTH53" i="7" s="1"/>
  <c r="BTI53" i="7" s="1"/>
  <c r="BTJ53" i="7" s="1"/>
  <c r="BTK53" i="7" s="1"/>
  <c r="BTL53" i="7" s="1"/>
  <c r="BTM53" i="7" s="1"/>
  <c r="BTN53" i="7" s="1"/>
  <c r="BTO53" i="7" s="1"/>
  <c r="BTP53" i="7" s="1"/>
  <c r="BTQ53" i="7" s="1"/>
  <c r="BTR53" i="7" s="1"/>
  <c r="BTS53" i="7" s="1"/>
  <c r="BTT53" i="7" s="1"/>
  <c r="BTU53" i="7" s="1"/>
  <c r="BTV53" i="7" s="1"/>
  <c r="BTW53" i="7" s="1"/>
  <c r="BTX53" i="7" s="1"/>
  <c r="BTY53" i="7" s="1"/>
  <c r="BTZ53" i="7" s="1"/>
  <c r="BUA53" i="7" s="1"/>
  <c r="BUB53" i="7" s="1"/>
  <c r="BUC53" i="7" s="1"/>
  <c r="BUD53" i="7" s="1"/>
  <c r="BUE53" i="7" s="1"/>
  <c r="BUF53" i="7" s="1"/>
  <c r="BUG53" i="7" s="1"/>
  <c r="BUH53" i="7" s="1"/>
  <c r="BUI53" i="7" s="1"/>
  <c r="BUJ53" i="7" s="1"/>
  <c r="BUK53" i="7" s="1"/>
  <c r="BUL53" i="7" s="1"/>
  <c r="BUM53" i="7" s="1"/>
  <c r="BUN53" i="7" s="1"/>
  <c r="BUO53" i="7" s="1"/>
  <c r="BUP53" i="7" s="1"/>
  <c r="BUQ53" i="7" s="1"/>
  <c r="BUR53" i="7" s="1"/>
  <c r="BUS53" i="7" s="1"/>
  <c r="BUT53" i="7" s="1"/>
  <c r="BUU53" i="7" s="1"/>
  <c r="BUV53" i="7" s="1"/>
  <c r="BUW53" i="7" s="1"/>
  <c r="BUX53" i="7" s="1"/>
  <c r="BUY53" i="7" s="1"/>
  <c r="BUZ53" i="7" s="1"/>
  <c r="BVA53" i="7" s="1"/>
  <c r="BVB53" i="7" s="1"/>
  <c r="BVC53" i="7" s="1"/>
  <c r="BVD53" i="7" s="1"/>
  <c r="BVE53" i="7" s="1"/>
  <c r="BVF53" i="7" s="1"/>
  <c r="BVG53" i="7" s="1"/>
  <c r="BVH53" i="7" s="1"/>
  <c r="BVI53" i="7" s="1"/>
  <c r="BVJ53" i="7" s="1"/>
  <c r="BVK53" i="7" s="1"/>
  <c r="BVL53" i="7" s="1"/>
  <c r="BVM53" i="7" s="1"/>
  <c r="BVN53" i="7" s="1"/>
  <c r="BVO53" i="7" s="1"/>
  <c r="BVP53" i="7" s="1"/>
  <c r="BVQ53" i="7" s="1"/>
  <c r="BVR53" i="7" s="1"/>
  <c r="BVS53" i="7" s="1"/>
  <c r="BVT53" i="7" s="1"/>
  <c r="BVU53" i="7" s="1"/>
  <c r="BVV53" i="7" s="1"/>
  <c r="BVW53" i="7" s="1"/>
  <c r="BVX53" i="7" s="1"/>
  <c r="BVY53" i="7" s="1"/>
  <c r="BVZ53" i="7" s="1"/>
  <c r="BWA53" i="7" s="1"/>
  <c r="BWB53" i="7" s="1"/>
  <c r="BWC53" i="7" s="1"/>
  <c r="BWD53" i="7" s="1"/>
  <c r="BWE53" i="7" s="1"/>
  <c r="BWF53" i="7" s="1"/>
  <c r="BWG53" i="7" s="1"/>
  <c r="BWH53" i="7" s="1"/>
  <c r="BWI53" i="7" s="1"/>
  <c r="BWJ53" i="7" s="1"/>
  <c r="BWK53" i="7" s="1"/>
  <c r="BWL53" i="7" s="1"/>
  <c r="BWM53" i="7" s="1"/>
  <c r="BWN53" i="7" s="1"/>
  <c r="BWO53" i="7" s="1"/>
  <c r="BWP53" i="7" s="1"/>
  <c r="BWQ53" i="7" s="1"/>
  <c r="BWR53" i="7" s="1"/>
  <c r="BWS53" i="7" s="1"/>
  <c r="BWT53" i="7" s="1"/>
  <c r="BWU53" i="7" s="1"/>
  <c r="BWV53" i="7" s="1"/>
  <c r="BWW53" i="7" s="1"/>
  <c r="BWX53" i="7" s="1"/>
  <c r="BWY53" i="7" s="1"/>
  <c r="BWZ53" i="7" s="1"/>
  <c r="BXA53" i="7" s="1"/>
  <c r="BXB53" i="7" s="1"/>
  <c r="BXC53" i="7" s="1"/>
  <c r="BXD53" i="7" s="1"/>
  <c r="BXE53" i="7" s="1"/>
  <c r="BXF53" i="7" s="1"/>
  <c r="BXG53" i="7" s="1"/>
  <c r="BXH53" i="7" s="1"/>
  <c r="BXI53" i="7" s="1"/>
  <c r="BXJ53" i="7" s="1"/>
  <c r="BXK53" i="7" s="1"/>
  <c r="BXL53" i="7" s="1"/>
  <c r="BXM53" i="7" s="1"/>
  <c r="BXN53" i="7" s="1"/>
  <c r="BXO53" i="7" s="1"/>
  <c r="BXP53" i="7" s="1"/>
  <c r="BXQ53" i="7" s="1"/>
  <c r="BXR53" i="7" s="1"/>
  <c r="BXS53" i="7" s="1"/>
  <c r="BXT53" i="7" s="1"/>
  <c r="BXU53" i="7" s="1"/>
  <c r="BXV53" i="7" s="1"/>
  <c r="BXW53" i="7" s="1"/>
  <c r="BXX53" i="7" s="1"/>
  <c r="BXY53" i="7" s="1"/>
  <c r="BXZ53" i="7" s="1"/>
  <c r="BYA53" i="7" s="1"/>
  <c r="BYB53" i="7" s="1"/>
  <c r="BYC53" i="7" s="1"/>
  <c r="BYD53" i="7" s="1"/>
  <c r="BYE53" i="7" s="1"/>
  <c r="BYF53" i="7" s="1"/>
  <c r="BYG53" i="7" s="1"/>
  <c r="BYH53" i="7" s="1"/>
  <c r="BYI53" i="7" s="1"/>
  <c r="BYJ53" i="7" s="1"/>
  <c r="BYK53" i="7" s="1"/>
  <c r="BYL53" i="7" s="1"/>
  <c r="BYM53" i="7" s="1"/>
  <c r="BYN53" i="7" s="1"/>
  <c r="BYO53" i="7" s="1"/>
  <c r="BYP53" i="7" s="1"/>
  <c r="BYQ53" i="7" s="1"/>
  <c r="BYR53" i="7" s="1"/>
  <c r="BYS53" i="7" s="1"/>
  <c r="BYT53" i="7" s="1"/>
  <c r="BYU53" i="7" s="1"/>
  <c r="BYV53" i="7" s="1"/>
  <c r="BYW53" i="7" s="1"/>
  <c r="BYX53" i="7" s="1"/>
  <c r="BYY53" i="7" s="1"/>
  <c r="BYZ53" i="7" s="1"/>
  <c r="BZA53" i="7" s="1"/>
  <c r="BZB53" i="7" s="1"/>
  <c r="BZC53" i="7" s="1"/>
  <c r="BZD53" i="7" s="1"/>
  <c r="BZE53" i="7" s="1"/>
  <c r="BZF53" i="7" s="1"/>
  <c r="BZG53" i="7" s="1"/>
  <c r="BZH53" i="7" s="1"/>
  <c r="BZI53" i="7" s="1"/>
  <c r="BZJ53" i="7" s="1"/>
  <c r="BZK53" i="7" s="1"/>
  <c r="BZL53" i="7" s="1"/>
  <c r="BZM53" i="7" s="1"/>
  <c r="BZN53" i="7" s="1"/>
  <c r="BZO53" i="7" s="1"/>
  <c r="BZP53" i="7" s="1"/>
  <c r="BZQ53" i="7" s="1"/>
  <c r="BZR53" i="7" s="1"/>
  <c r="BZS53" i="7" s="1"/>
  <c r="BZT53" i="7" s="1"/>
  <c r="BZU53" i="7" s="1"/>
  <c r="BZV53" i="7" s="1"/>
  <c r="BZW53" i="7" s="1"/>
  <c r="BZX53" i="7" s="1"/>
  <c r="BZY53" i="7" s="1"/>
  <c r="BZZ53" i="7" s="1"/>
  <c r="CAA53" i="7" s="1"/>
  <c r="CAB53" i="7" s="1"/>
  <c r="CAC53" i="7" s="1"/>
  <c r="CAD53" i="7" s="1"/>
  <c r="CAE53" i="7" s="1"/>
  <c r="CAF53" i="7" s="1"/>
  <c r="CAG53" i="7" s="1"/>
  <c r="CAH53" i="7" s="1"/>
  <c r="CAI53" i="7" s="1"/>
  <c r="CAJ53" i="7" s="1"/>
  <c r="CAK53" i="7" s="1"/>
  <c r="CAL53" i="7" s="1"/>
  <c r="CAM53" i="7" s="1"/>
  <c r="CAN53" i="7" s="1"/>
  <c r="CAO53" i="7" s="1"/>
  <c r="CAP53" i="7" s="1"/>
  <c r="CAQ53" i="7" s="1"/>
  <c r="CAR53" i="7" s="1"/>
  <c r="CAS53" i="7" s="1"/>
  <c r="CAT53" i="7" s="1"/>
  <c r="CAU53" i="7" s="1"/>
  <c r="CAV53" i="7" s="1"/>
  <c r="CAW53" i="7" s="1"/>
  <c r="CAX53" i="7" s="1"/>
  <c r="CAY53" i="7" s="1"/>
  <c r="CAZ53" i="7" s="1"/>
  <c r="CBA53" i="7" s="1"/>
  <c r="CBB53" i="7" s="1"/>
  <c r="CBC53" i="7" s="1"/>
  <c r="CBD53" i="7" s="1"/>
  <c r="CBE53" i="7" s="1"/>
  <c r="CBF53" i="7" s="1"/>
  <c r="CBG53" i="7" s="1"/>
  <c r="CBH53" i="7" s="1"/>
  <c r="CBI53" i="7" s="1"/>
  <c r="CBJ53" i="7" s="1"/>
  <c r="CBK53" i="7" s="1"/>
  <c r="CBL53" i="7" s="1"/>
  <c r="CBM53" i="7" s="1"/>
  <c r="CBN53" i="7" s="1"/>
  <c r="CBO53" i="7" s="1"/>
  <c r="CBP53" i="7" s="1"/>
  <c r="CBQ53" i="7" s="1"/>
  <c r="CBR53" i="7" s="1"/>
  <c r="CBS53" i="7" s="1"/>
  <c r="CBT53" i="7" s="1"/>
  <c r="CBU53" i="7" s="1"/>
  <c r="CBV53" i="7" s="1"/>
  <c r="CBW53" i="7" s="1"/>
  <c r="CBX53" i="7" s="1"/>
  <c r="CBY53" i="7" s="1"/>
  <c r="CBZ53" i="7" s="1"/>
  <c r="CCA53" i="7" s="1"/>
  <c r="CCB53" i="7" s="1"/>
  <c r="CCC53" i="7" s="1"/>
  <c r="CCD53" i="7" s="1"/>
  <c r="CCE53" i="7" s="1"/>
  <c r="CCF53" i="7" s="1"/>
  <c r="CCG53" i="7" s="1"/>
  <c r="CCH53" i="7" s="1"/>
  <c r="CCI53" i="7" s="1"/>
  <c r="CCJ53" i="7" s="1"/>
  <c r="CCK53" i="7" s="1"/>
  <c r="CCL53" i="7" s="1"/>
  <c r="CCM53" i="7" s="1"/>
  <c r="CCN53" i="7" s="1"/>
  <c r="CCO53" i="7" s="1"/>
  <c r="CCP53" i="7" s="1"/>
  <c r="CCQ53" i="7" s="1"/>
  <c r="CCR53" i="7" s="1"/>
  <c r="CCS53" i="7" s="1"/>
  <c r="CCT53" i="7" s="1"/>
  <c r="CCU53" i="7" s="1"/>
  <c r="CCV53" i="7" s="1"/>
  <c r="CCW53" i="7" s="1"/>
  <c r="CCX53" i="7" s="1"/>
  <c r="CCY53" i="7" s="1"/>
  <c r="CCZ53" i="7" s="1"/>
  <c r="CDA53" i="7" s="1"/>
  <c r="CDB53" i="7" s="1"/>
  <c r="CDC53" i="7" s="1"/>
  <c r="CDD53" i="7" s="1"/>
  <c r="CDE53" i="7" s="1"/>
  <c r="CDF53" i="7" s="1"/>
  <c r="CDG53" i="7" s="1"/>
  <c r="CDH53" i="7" s="1"/>
  <c r="CDI53" i="7" s="1"/>
  <c r="CDJ53" i="7" s="1"/>
  <c r="CDK53" i="7" s="1"/>
  <c r="CDL53" i="7" s="1"/>
  <c r="CDM53" i="7" s="1"/>
  <c r="CDN53" i="7" s="1"/>
  <c r="CDO53" i="7" s="1"/>
  <c r="CDP53" i="7" s="1"/>
  <c r="CDQ53" i="7" s="1"/>
  <c r="CDR53" i="7" s="1"/>
  <c r="CDS53" i="7" s="1"/>
  <c r="CDT53" i="7" s="1"/>
  <c r="CDU53" i="7" s="1"/>
  <c r="CDV53" i="7" s="1"/>
  <c r="CDW53" i="7" s="1"/>
  <c r="CDX53" i="7" s="1"/>
  <c r="CDY53" i="7" s="1"/>
  <c r="CDZ53" i="7" s="1"/>
  <c r="CEA53" i="7" s="1"/>
  <c r="CEB53" i="7" s="1"/>
  <c r="CEC53" i="7" s="1"/>
  <c r="CED53" i="7" s="1"/>
  <c r="CEE53" i="7" s="1"/>
  <c r="CEF53" i="7" s="1"/>
  <c r="CEG53" i="7" s="1"/>
  <c r="CEH53" i="7" s="1"/>
  <c r="CEI53" i="7" s="1"/>
  <c r="CEJ53" i="7" s="1"/>
  <c r="CEK53" i="7" s="1"/>
  <c r="CEL53" i="7" s="1"/>
  <c r="CEM53" i="7" s="1"/>
  <c r="CEN53" i="7" s="1"/>
  <c r="CEO53" i="7" s="1"/>
  <c r="CEP53" i="7" s="1"/>
  <c r="CEQ53" i="7" s="1"/>
  <c r="CER53" i="7" s="1"/>
  <c r="CES53" i="7" s="1"/>
  <c r="CET53" i="7" s="1"/>
  <c r="CEU53" i="7" s="1"/>
  <c r="CEV53" i="7" s="1"/>
  <c r="CEW53" i="7" s="1"/>
  <c r="CEX53" i="7" s="1"/>
  <c r="CEY53" i="7" s="1"/>
  <c r="CEZ53" i="7" s="1"/>
  <c r="CFA53" i="7" s="1"/>
  <c r="CFB53" i="7" s="1"/>
  <c r="CFC53" i="7" s="1"/>
  <c r="CFD53" i="7" s="1"/>
  <c r="CFE53" i="7" s="1"/>
  <c r="CFF53" i="7" s="1"/>
  <c r="CFG53" i="7" s="1"/>
  <c r="CFH53" i="7" s="1"/>
  <c r="CFI53" i="7" s="1"/>
  <c r="CFJ53" i="7" s="1"/>
  <c r="CFK53" i="7" s="1"/>
  <c r="CFL53" i="7" s="1"/>
  <c r="CFM53" i="7" s="1"/>
  <c r="CFN53" i="7" s="1"/>
  <c r="CFO53" i="7" s="1"/>
  <c r="CFP53" i="7" s="1"/>
  <c r="CFQ53" i="7" s="1"/>
  <c r="CFR53" i="7" s="1"/>
  <c r="CFS53" i="7" s="1"/>
  <c r="CFT53" i="7" s="1"/>
  <c r="CFU53" i="7" s="1"/>
  <c r="CFV53" i="7" s="1"/>
  <c r="CFW53" i="7" s="1"/>
  <c r="CFX53" i="7" s="1"/>
  <c r="CFY53" i="7" s="1"/>
  <c r="CFZ53" i="7" s="1"/>
  <c r="CGA53" i="7" s="1"/>
  <c r="CGB53" i="7" s="1"/>
  <c r="CGC53" i="7" s="1"/>
  <c r="CGD53" i="7" s="1"/>
  <c r="CGE53" i="7" s="1"/>
  <c r="CGF53" i="7" s="1"/>
  <c r="CGG53" i="7" s="1"/>
  <c r="CGH53" i="7" s="1"/>
  <c r="CGI53" i="7" s="1"/>
  <c r="CGJ53" i="7" s="1"/>
  <c r="CGK53" i="7" s="1"/>
  <c r="CGL53" i="7" s="1"/>
  <c r="CGM53" i="7" s="1"/>
  <c r="CGN53" i="7" s="1"/>
  <c r="CGO53" i="7" s="1"/>
  <c r="CGP53" i="7" s="1"/>
  <c r="CGQ53" i="7" s="1"/>
  <c r="CGR53" i="7" s="1"/>
  <c r="CGS53" i="7" s="1"/>
  <c r="CGT53" i="7" s="1"/>
  <c r="CGU53" i="7" s="1"/>
  <c r="CGV53" i="7" s="1"/>
  <c r="CGW53" i="7" s="1"/>
  <c r="CGX53" i="7" s="1"/>
  <c r="CGY53" i="7" s="1"/>
  <c r="CGZ53" i="7" s="1"/>
  <c r="CHA53" i="7" s="1"/>
  <c r="CHB53" i="7" s="1"/>
  <c r="CHC53" i="7" s="1"/>
  <c r="CHD53" i="7" s="1"/>
  <c r="CHE53" i="7" s="1"/>
  <c r="CHF53" i="7" s="1"/>
  <c r="CHG53" i="7" s="1"/>
  <c r="CHH53" i="7" s="1"/>
  <c r="CHI53" i="7" s="1"/>
  <c r="CHJ53" i="7" s="1"/>
  <c r="CHK53" i="7" s="1"/>
  <c r="CHL53" i="7" s="1"/>
  <c r="CHM53" i="7" s="1"/>
  <c r="CHN53" i="7" s="1"/>
  <c r="CHO53" i="7" s="1"/>
  <c r="CHP53" i="7" s="1"/>
  <c r="CHQ53" i="7" s="1"/>
  <c r="CHR53" i="7" s="1"/>
  <c r="CHS53" i="7" s="1"/>
  <c r="CHT53" i="7" s="1"/>
  <c r="CHU53" i="7" s="1"/>
  <c r="CHV53" i="7" s="1"/>
  <c r="CHW53" i="7" s="1"/>
  <c r="CHX53" i="7" s="1"/>
  <c r="CHY53" i="7" s="1"/>
  <c r="CHZ53" i="7" s="1"/>
  <c r="CIA53" i="7" s="1"/>
  <c r="CIB53" i="7" s="1"/>
  <c r="CIC53" i="7" s="1"/>
  <c r="CID53" i="7" s="1"/>
  <c r="CIE53" i="7" s="1"/>
  <c r="CIF53" i="7" s="1"/>
  <c r="CIG53" i="7" s="1"/>
  <c r="CIH53" i="7" s="1"/>
  <c r="CII53" i="7" s="1"/>
  <c r="CIJ53" i="7" s="1"/>
  <c r="CIK53" i="7" s="1"/>
  <c r="CIL53" i="7" s="1"/>
  <c r="CIM53" i="7" s="1"/>
  <c r="CIN53" i="7" s="1"/>
  <c r="CIO53" i="7" s="1"/>
  <c r="CIP53" i="7" s="1"/>
  <c r="CIQ53" i="7" s="1"/>
  <c r="CIR53" i="7" s="1"/>
  <c r="CIS53" i="7" s="1"/>
  <c r="CIT53" i="7" s="1"/>
  <c r="CIU53" i="7" s="1"/>
  <c r="CIV53" i="7" s="1"/>
  <c r="CIW53" i="7" s="1"/>
  <c r="CIX53" i="7" s="1"/>
  <c r="CIY53" i="7" s="1"/>
  <c r="CIZ53" i="7" s="1"/>
  <c r="CJA53" i="7" s="1"/>
  <c r="CJB53" i="7" s="1"/>
  <c r="CJC53" i="7" s="1"/>
  <c r="CJD53" i="7" s="1"/>
  <c r="CJE53" i="7" s="1"/>
  <c r="CJF53" i="7" s="1"/>
  <c r="CJG53" i="7" s="1"/>
  <c r="CJH53" i="7" s="1"/>
  <c r="CJI53" i="7" s="1"/>
  <c r="CJJ53" i="7" s="1"/>
  <c r="CJK53" i="7" s="1"/>
  <c r="CJL53" i="7" s="1"/>
  <c r="CJM53" i="7" s="1"/>
  <c r="CJN53" i="7" s="1"/>
  <c r="CJO53" i="7" s="1"/>
  <c r="CJP53" i="7" s="1"/>
  <c r="CJQ53" i="7" s="1"/>
  <c r="CJR53" i="7" s="1"/>
  <c r="CJS53" i="7" s="1"/>
  <c r="CJT53" i="7" s="1"/>
  <c r="CJU53" i="7" s="1"/>
  <c r="CJV53" i="7" s="1"/>
  <c r="CJW53" i="7" s="1"/>
  <c r="CJX53" i="7" s="1"/>
  <c r="CJY53" i="7" s="1"/>
  <c r="CJZ53" i="7" s="1"/>
  <c r="CKA53" i="7" s="1"/>
  <c r="CKB53" i="7" s="1"/>
  <c r="CKC53" i="7" s="1"/>
  <c r="CKD53" i="7" s="1"/>
  <c r="CKE53" i="7" s="1"/>
  <c r="CKF53" i="7" s="1"/>
  <c r="CKG53" i="7" s="1"/>
  <c r="CKH53" i="7" s="1"/>
  <c r="CKI53" i="7" s="1"/>
  <c r="CKJ53" i="7" s="1"/>
  <c r="CKK53" i="7" s="1"/>
  <c r="CKL53" i="7" s="1"/>
  <c r="CKM53" i="7" s="1"/>
  <c r="CKN53" i="7" s="1"/>
  <c r="CKO53" i="7" s="1"/>
  <c r="CKP53" i="7" s="1"/>
  <c r="CKQ53" i="7" s="1"/>
  <c r="CKR53" i="7" s="1"/>
  <c r="CKS53" i="7" s="1"/>
  <c r="CKT53" i="7" s="1"/>
  <c r="CKU53" i="7" s="1"/>
  <c r="CKV53" i="7" s="1"/>
  <c r="CKW53" i="7" s="1"/>
  <c r="CKX53" i="7" s="1"/>
  <c r="CKY53" i="7" s="1"/>
  <c r="CKZ53" i="7" s="1"/>
  <c r="CLA53" i="7" s="1"/>
  <c r="CLB53" i="7" s="1"/>
  <c r="CLC53" i="7" s="1"/>
  <c r="CLD53" i="7" s="1"/>
  <c r="CLE53" i="7" s="1"/>
  <c r="CLF53" i="7" s="1"/>
  <c r="CLG53" i="7" s="1"/>
  <c r="CLH53" i="7" s="1"/>
  <c r="CLI53" i="7" s="1"/>
  <c r="CLJ53" i="7" s="1"/>
  <c r="CLK53" i="7" s="1"/>
  <c r="CLL53" i="7" s="1"/>
  <c r="CLM53" i="7" s="1"/>
  <c r="CLN53" i="7" s="1"/>
  <c r="CLO53" i="7" s="1"/>
  <c r="CLP53" i="7" s="1"/>
  <c r="CLQ53" i="7" s="1"/>
  <c r="CLR53" i="7" s="1"/>
  <c r="CLS53" i="7" s="1"/>
  <c r="CLT53" i="7" s="1"/>
  <c r="CLU53" i="7" s="1"/>
  <c r="CLV53" i="7" s="1"/>
  <c r="CLW53" i="7" s="1"/>
  <c r="CLX53" i="7" s="1"/>
  <c r="CLY53" i="7" s="1"/>
  <c r="CLZ53" i="7" s="1"/>
  <c r="CMA53" i="7" s="1"/>
  <c r="CMB53" i="7" s="1"/>
  <c r="CMC53" i="7" s="1"/>
  <c r="CMD53" i="7" s="1"/>
  <c r="CME53" i="7" s="1"/>
  <c r="CMF53" i="7" s="1"/>
  <c r="CMG53" i="7" s="1"/>
  <c r="CMH53" i="7" s="1"/>
  <c r="CMI53" i="7" s="1"/>
  <c r="CMJ53" i="7" s="1"/>
  <c r="CMK53" i="7" s="1"/>
  <c r="CML53" i="7" s="1"/>
  <c r="CMM53" i="7" s="1"/>
  <c r="CMN53" i="7" s="1"/>
  <c r="CMO53" i="7" s="1"/>
  <c r="CMP53" i="7" s="1"/>
  <c r="CMQ53" i="7" s="1"/>
  <c r="CMR53" i="7" s="1"/>
  <c r="CMS53" i="7" s="1"/>
  <c r="CMT53" i="7" s="1"/>
  <c r="CMU53" i="7" s="1"/>
  <c r="CMV53" i="7" s="1"/>
  <c r="CMW53" i="7" s="1"/>
  <c r="CMX53" i="7" s="1"/>
  <c r="CMY53" i="7" s="1"/>
  <c r="CMZ53" i="7" s="1"/>
  <c r="CNA53" i="7" s="1"/>
  <c r="CNB53" i="7" s="1"/>
  <c r="CNC53" i="7" s="1"/>
  <c r="CND53" i="7" s="1"/>
  <c r="CNE53" i="7" s="1"/>
  <c r="CNF53" i="7" s="1"/>
  <c r="CNG53" i="7" s="1"/>
  <c r="CNH53" i="7" s="1"/>
  <c r="CNI53" i="7" s="1"/>
  <c r="CNJ53" i="7" s="1"/>
  <c r="CNK53" i="7" s="1"/>
  <c r="CNL53" i="7" s="1"/>
  <c r="CNM53" i="7" s="1"/>
  <c r="CNN53" i="7" s="1"/>
  <c r="CNO53" i="7" s="1"/>
  <c r="CNP53" i="7" s="1"/>
  <c r="CNQ53" i="7" s="1"/>
  <c r="CNR53" i="7" s="1"/>
  <c r="CNS53" i="7" s="1"/>
  <c r="CNT53" i="7" s="1"/>
  <c r="CNU53" i="7" s="1"/>
  <c r="CNV53" i="7" s="1"/>
  <c r="CNW53" i="7" s="1"/>
  <c r="CNX53" i="7" s="1"/>
  <c r="CNY53" i="7" s="1"/>
  <c r="CNZ53" i="7" s="1"/>
  <c r="COA53" i="7" s="1"/>
  <c r="COB53" i="7" s="1"/>
  <c r="COC53" i="7" s="1"/>
  <c r="COD53" i="7" s="1"/>
  <c r="COE53" i="7" s="1"/>
  <c r="COF53" i="7" s="1"/>
  <c r="COG53" i="7" s="1"/>
  <c r="COH53" i="7" s="1"/>
  <c r="COI53" i="7" s="1"/>
  <c r="COJ53" i="7" s="1"/>
  <c r="COK53" i="7" s="1"/>
  <c r="COL53" i="7" s="1"/>
  <c r="COM53" i="7" s="1"/>
  <c r="CON53" i="7" s="1"/>
  <c r="COO53" i="7" s="1"/>
  <c r="COP53" i="7" s="1"/>
  <c r="COQ53" i="7" s="1"/>
  <c r="COR53" i="7" s="1"/>
  <c r="COS53" i="7" s="1"/>
  <c r="COT53" i="7" s="1"/>
  <c r="COU53" i="7" s="1"/>
  <c r="COV53" i="7" s="1"/>
  <c r="COW53" i="7" s="1"/>
  <c r="COX53" i="7" s="1"/>
  <c r="COY53" i="7" s="1"/>
  <c r="COZ53" i="7" s="1"/>
  <c r="CPA53" i="7" s="1"/>
  <c r="CPB53" i="7" s="1"/>
  <c r="CPC53" i="7" s="1"/>
  <c r="CPD53" i="7" s="1"/>
  <c r="CPE53" i="7" s="1"/>
  <c r="CPF53" i="7" s="1"/>
  <c r="CPG53" i="7" s="1"/>
  <c r="CPH53" i="7" s="1"/>
  <c r="CPI53" i="7" s="1"/>
  <c r="CPJ53" i="7" s="1"/>
  <c r="CPK53" i="7" s="1"/>
  <c r="CPL53" i="7" s="1"/>
  <c r="CPM53" i="7" s="1"/>
  <c r="CPN53" i="7" s="1"/>
  <c r="CPO53" i="7" s="1"/>
  <c r="CPP53" i="7" s="1"/>
  <c r="CPQ53" i="7" s="1"/>
  <c r="CPR53" i="7" s="1"/>
  <c r="CPS53" i="7" s="1"/>
  <c r="CPT53" i="7" s="1"/>
  <c r="CPU53" i="7" s="1"/>
  <c r="CPV53" i="7" s="1"/>
  <c r="CPW53" i="7" s="1"/>
  <c r="CPX53" i="7" s="1"/>
  <c r="CPY53" i="7" s="1"/>
  <c r="CPZ53" i="7" s="1"/>
  <c r="CQA53" i="7" s="1"/>
  <c r="CQB53" i="7" s="1"/>
  <c r="CQC53" i="7" s="1"/>
  <c r="CQD53" i="7" s="1"/>
  <c r="CQE53" i="7" s="1"/>
  <c r="CQF53" i="7" s="1"/>
  <c r="CQG53" i="7" s="1"/>
  <c r="CQH53" i="7" s="1"/>
  <c r="CQI53" i="7" s="1"/>
  <c r="CQJ53" i="7" s="1"/>
  <c r="CQK53" i="7" s="1"/>
  <c r="CQL53" i="7" s="1"/>
  <c r="CQM53" i="7" s="1"/>
  <c r="CQN53" i="7" s="1"/>
  <c r="CQO53" i="7" s="1"/>
  <c r="CQP53" i="7" s="1"/>
  <c r="CQQ53" i="7" s="1"/>
  <c r="CQR53" i="7" s="1"/>
  <c r="CQS53" i="7" s="1"/>
  <c r="CQT53" i="7" s="1"/>
  <c r="CQU53" i="7" s="1"/>
  <c r="CQV53" i="7" s="1"/>
  <c r="CQW53" i="7" s="1"/>
  <c r="CQX53" i="7" s="1"/>
  <c r="CQY53" i="7" s="1"/>
  <c r="CQZ53" i="7" s="1"/>
  <c r="CRA53" i="7" s="1"/>
  <c r="CRB53" i="7" s="1"/>
  <c r="CRC53" i="7" s="1"/>
  <c r="CRD53" i="7" s="1"/>
  <c r="CRE53" i="7" s="1"/>
  <c r="CRF53" i="7" s="1"/>
  <c r="CRG53" i="7" s="1"/>
  <c r="CRH53" i="7" s="1"/>
  <c r="CRI53" i="7" s="1"/>
  <c r="CRJ53" i="7" s="1"/>
  <c r="CRK53" i="7" s="1"/>
  <c r="CRL53" i="7" s="1"/>
  <c r="CRM53" i="7" s="1"/>
  <c r="CRN53" i="7" s="1"/>
  <c r="CRO53" i="7" s="1"/>
  <c r="CRP53" i="7" s="1"/>
  <c r="CRQ53" i="7" s="1"/>
  <c r="CRR53" i="7" s="1"/>
  <c r="CRS53" i="7" s="1"/>
  <c r="CRT53" i="7" s="1"/>
  <c r="CRU53" i="7" s="1"/>
  <c r="CRV53" i="7" s="1"/>
  <c r="CRW53" i="7" s="1"/>
  <c r="CRX53" i="7" s="1"/>
  <c r="CRY53" i="7" s="1"/>
  <c r="CRZ53" i="7" s="1"/>
  <c r="CSA53" i="7" s="1"/>
  <c r="CSB53" i="7" s="1"/>
  <c r="CSC53" i="7" s="1"/>
  <c r="CSD53" i="7" s="1"/>
  <c r="CSE53" i="7" s="1"/>
  <c r="CSF53" i="7" s="1"/>
  <c r="CSG53" i="7" s="1"/>
  <c r="CSH53" i="7" s="1"/>
  <c r="CSI53" i="7" s="1"/>
  <c r="CSJ53" i="7" s="1"/>
  <c r="CSK53" i="7" s="1"/>
  <c r="CSL53" i="7" s="1"/>
  <c r="CSM53" i="7" s="1"/>
  <c r="CSN53" i="7" s="1"/>
  <c r="CSO53" i="7" s="1"/>
  <c r="CSP53" i="7" s="1"/>
  <c r="CSQ53" i="7" s="1"/>
  <c r="CSR53" i="7" s="1"/>
  <c r="CSS53" i="7" s="1"/>
  <c r="CST53" i="7" s="1"/>
  <c r="CSU53" i="7" s="1"/>
  <c r="CSV53" i="7" s="1"/>
  <c r="CSW53" i="7" s="1"/>
  <c r="CSX53" i="7" s="1"/>
  <c r="CSY53" i="7" s="1"/>
  <c r="CSZ53" i="7" s="1"/>
  <c r="CTA53" i="7" s="1"/>
  <c r="CTB53" i="7" s="1"/>
  <c r="CTC53" i="7" s="1"/>
  <c r="CTD53" i="7" s="1"/>
  <c r="CTE53" i="7" s="1"/>
  <c r="CTF53" i="7" s="1"/>
  <c r="CTG53" i="7" s="1"/>
  <c r="CTH53" i="7" s="1"/>
  <c r="CTI53" i="7" s="1"/>
  <c r="CTJ53" i="7" s="1"/>
  <c r="CTK53" i="7" s="1"/>
  <c r="CTL53" i="7" s="1"/>
  <c r="CTM53" i="7" s="1"/>
  <c r="CTN53" i="7" s="1"/>
  <c r="CTO53" i="7" s="1"/>
  <c r="CTP53" i="7" s="1"/>
  <c r="CTQ53" i="7" s="1"/>
  <c r="CTR53" i="7" s="1"/>
  <c r="CTS53" i="7" s="1"/>
  <c r="CTT53" i="7" s="1"/>
  <c r="CTU53" i="7" s="1"/>
  <c r="CTV53" i="7" s="1"/>
  <c r="CTW53" i="7" s="1"/>
  <c r="CTX53" i="7" s="1"/>
  <c r="CTY53" i="7" s="1"/>
  <c r="CTZ53" i="7" s="1"/>
  <c r="CUA53" i="7" s="1"/>
  <c r="CUB53" i="7" s="1"/>
  <c r="CUC53" i="7" s="1"/>
  <c r="CUD53" i="7" s="1"/>
  <c r="CUE53" i="7" s="1"/>
  <c r="CUF53" i="7" s="1"/>
  <c r="CUG53" i="7" s="1"/>
  <c r="CUH53" i="7" s="1"/>
  <c r="CUI53" i="7" s="1"/>
  <c r="CUJ53" i="7" s="1"/>
  <c r="CUK53" i="7" s="1"/>
  <c r="CUL53" i="7" s="1"/>
  <c r="CUM53" i="7" s="1"/>
  <c r="CUN53" i="7" s="1"/>
  <c r="CUO53" i="7" s="1"/>
  <c r="CUP53" i="7" s="1"/>
  <c r="CUQ53" i="7" s="1"/>
  <c r="CUR53" i="7" s="1"/>
  <c r="CUS53" i="7" s="1"/>
  <c r="CUT53" i="7" s="1"/>
  <c r="CUU53" i="7" s="1"/>
  <c r="CUV53" i="7" s="1"/>
  <c r="CUW53" i="7" s="1"/>
  <c r="CUX53" i="7" s="1"/>
  <c r="CUY53" i="7" s="1"/>
  <c r="CUZ53" i="7" s="1"/>
  <c r="CVA53" i="7" s="1"/>
  <c r="CVB53" i="7" s="1"/>
  <c r="CVC53" i="7" s="1"/>
  <c r="CVD53" i="7" s="1"/>
  <c r="CVE53" i="7" s="1"/>
  <c r="CVF53" i="7" s="1"/>
  <c r="CVG53" i="7" s="1"/>
  <c r="CVH53" i="7" s="1"/>
  <c r="CVI53" i="7" s="1"/>
  <c r="CVJ53" i="7" s="1"/>
  <c r="CVK53" i="7" s="1"/>
  <c r="CVL53" i="7" s="1"/>
  <c r="CVM53" i="7" s="1"/>
  <c r="CVN53" i="7" s="1"/>
  <c r="CVO53" i="7" s="1"/>
  <c r="CVP53" i="7" s="1"/>
  <c r="CVQ53" i="7" s="1"/>
  <c r="CVR53" i="7" s="1"/>
  <c r="CVS53" i="7" s="1"/>
  <c r="CVT53" i="7" s="1"/>
  <c r="CVU53" i="7" s="1"/>
  <c r="CVV53" i="7" s="1"/>
  <c r="CVW53" i="7" s="1"/>
  <c r="CVX53" i="7" s="1"/>
  <c r="CVY53" i="7" s="1"/>
  <c r="CVZ53" i="7" s="1"/>
  <c r="CWA53" i="7" s="1"/>
  <c r="CWB53" i="7" s="1"/>
  <c r="CWC53" i="7" s="1"/>
  <c r="CWD53" i="7" s="1"/>
  <c r="CWE53" i="7" s="1"/>
  <c r="CWF53" i="7" s="1"/>
  <c r="CWG53" i="7" s="1"/>
  <c r="CWH53" i="7" s="1"/>
  <c r="CWI53" i="7" s="1"/>
  <c r="CWJ53" i="7" s="1"/>
  <c r="CWK53" i="7" s="1"/>
  <c r="CWL53" i="7" s="1"/>
  <c r="CWM53" i="7" s="1"/>
  <c r="CWN53" i="7" s="1"/>
  <c r="CWO53" i="7" s="1"/>
  <c r="CWP53" i="7" s="1"/>
  <c r="CWQ53" i="7" s="1"/>
  <c r="CWR53" i="7" s="1"/>
  <c r="CWS53" i="7" s="1"/>
  <c r="CWT53" i="7" s="1"/>
  <c r="CWU53" i="7" s="1"/>
  <c r="CWV53" i="7" s="1"/>
  <c r="CWW53" i="7" s="1"/>
  <c r="CWX53" i="7" s="1"/>
  <c r="CWY53" i="7" s="1"/>
  <c r="CWZ53" i="7" s="1"/>
  <c r="CXA53" i="7" s="1"/>
  <c r="CXB53" i="7" s="1"/>
  <c r="CXC53" i="7" s="1"/>
  <c r="CXD53" i="7" s="1"/>
  <c r="CXE53" i="7" s="1"/>
  <c r="CXF53" i="7" s="1"/>
  <c r="CXG53" i="7" s="1"/>
  <c r="CXH53" i="7" s="1"/>
  <c r="CXI53" i="7" s="1"/>
  <c r="CXJ53" i="7" s="1"/>
  <c r="CXK53" i="7" s="1"/>
  <c r="CXL53" i="7" s="1"/>
  <c r="CXM53" i="7" s="1"/>
  <c r="CXN53" i="7" s="1"/>
  <c r="CXO53" i="7" s="1"/>
  <c r="CXP53" i="7" s="1"/>
  <c r="CXQ53" i="7" s="1"/>
  <c r="CXR53" i="7" s="1"/>
  <c r="CXS53" i="7" s="1"/>
  <c r="CXT53" i="7" s="1"/>
  <c r="CXU53" i="7" s="1"/>
  <c r="CXV53" i="7" s="1"/>
  <c r="CXW53" i="7" s="1"/>
  <c r="CXX53" i="7" s="1"/>
  <c r="CXY53" i="7" s="1"/>
  <c r="CXZ53" i="7" s="1"/>
  <c r="CYA53" i="7" s="1"/>
  <c r="CYB53" i="7" s="1"/>
  <c r="CYC53" i="7" s="1"/>
  <c r="CYD53" i="7" s="1"/>
  <c r="CYE53" i="7" s="1"/>
  <c r="CYF53" i="7" s="1"/>
  <c r="CYG53" i="7" s="1"/>
  <c r="CYH53" i="7" s="1"/>
  <c r="CYI53" i="7" s="1"/>
  <c r="CYJ53" i="7" s="1"/>
  <c r="CYK53" i="7" s="1"/>
  <c r="CYL53" i="7" s="1"/>
  <c r="CYM53" i="7" s="1"/>
  <c r="CYN53" i="7" s="1"/>
  <c r="CYO53" i="7" s="1"/>
  <c r="CYP53" i="7" s="1"/>
  <c r="CYQ53" i="7" s="1"/>
  <c r="CYR53" i="7" s="1"/>
  <c r="CYS53" i="7" s="1"/>
  <c r="CYT53" i="7" s="1"/>
  <c r="CYU53" i="7" s="1"/>
  <c r="CYV53" i="7" s="1"/>
  <c r="CYW53" i="7" s="1"/>
  <c r="CYX53" i="7" s="1"/>
  <c r="CYY53" i="7" s="1"/>
  <c r="CYZ53" i="7" s="1"/>
  <c r="CZA53" i="7" s="1"/>
  <c r="CZB53" i="7" s="1"/>
  <c r="CZC53" i="7" s="1"/>
  <c r="CZD53" i="7" s="1"/>
  <c r="CZE53" i="7" s="1"/>
  <c r="CZF53" i="7" s="1"/>
  <c r="CZG53" i="7" s="1"/>
  <c r="CZH53" i="7" s="1"/>
  <c r="CZI53" i="7" s="1"/>
  <c r="CZJ53" i="7" s="1"/>
  <c r="CZK53" i="7" s="1"/>
  <c r="CZL53" i="7" s="1"/>
  <c r="CZM53" i="7" s="1"/>
  <c r="CZN53" i="7" s="1"/>
  <c r="CZO53" i="7" s="1"/>
  <c r="CZP53" i="7" s="1"/>
  <c r="CZQ53" i="7" s="1"/>
  <c r="CZR53" i="7" s="1"/>
  <c r="CZS53" i="7" s="1"/>
  <c r="CZT53" i="7" s="1"/>
  <c r="CZU53" i="7" s="1"/>
  <c r="CZV53" i="7" s="1"/>
  <c r="CZW53" i="7" s="1"/>
  <c r="CZX53" i="7" s="1"/>
  <c r="CZY53" i="7" s="1"/>
  <c r="CZZ53" i="7" s="1"/>
  <c r="DAA53" i="7" s="1"/>
  <c r="DAB53" i="7" s="1"/>
  <c r="DAC53" i="7" s="1"/>
  <c r="DAD53" i="7" s="1"/>
  <c r="DAE53" i="7" s="1"/>
  <c r="DAF53" i="7" s="1"/>
  <c r="DAG53" i="7" s="1"/>
  <c r="DAH53" i="7" s="1"/>
  <c r="DAI53" i="7" s="1"/>
  <c r="DAJ53" i="7" s="1"/>
  <c r="DAK53" i="7" s="1"/>
  <c r="DAL53" i="7" s="1"/>
  <c r="DAM53" i="7" s="1"/>
  <c r="DAN53" i="7" s="1"/>
  <c r="DAO53" i="7" s="1"/>
  <c r="DAP53" i="7" s="1"/>
  <c r="DAQ53" i="7" s="1"/>
  <c r="DAR53" i="7" s="1"/>
  <c r="DAS53" i="7" s="1"/>
  <c r="DAT53" i="7" s="1"/>
  <c r="DAU53" i="7" s="1"/>
  <c r="DAV53" i="7" s="1"/>
  <c r="DAW53" i="7" s="1"/>
  <c r="DAX53" i="7" s="1"/>
  <c r="DAY53" i="7" s="1"/>
  <c r="DAZ53" i="7" s="1"/>
  <c r="DBA53" i="7" s="1"/>
  <c r="DBB53" i="7" s="1"/>
  <c r="DBC53" i="7" s="1"/>
  <c r="DBD53" i="7" s="1"/>
  <c r="DBE53" i="7" s="1"/>
  <c r="DBF53" i="7" s="1"/>
  <c r="DBG53" i="7" s="1"/>
  <c r="DBH53" i="7" s="1"/>
  <c r="DBI53" i="7" s="1"/>
  <c r="DBJ53" i="7" s="1"/>
  <c r="DBK53" i="7" s="1"/>
  <c r="DBL53" i="7" s="1"/>
  <c r="DBM53" i="7" s="1"/>
  <c r="DBN53" i="7" s="1"/>
  <c r="DBO53" i="7" s="1"/>
  <c r="DBP53" i="7" s="1"/>
  <c r="DBQ53" i="7" s="1"/>
  <c r="DBR53" i="7" s="1"/>
  <c r="DBS53" i="7" s="1"/>
  <c r="DBT53" i="7" s="1"/>
  <c r="DBU53" i="7" s="1"/>
  <c r="DBV53" i="7" s="1"/>
  <c r="DBW53" i="7" s="1"/>
  <c r="DBX53" i="7" s="1"/>
  <c r="DBY53" i="7" s="1"/>
  <c r="DBZ53" i="7" s="1"/>
  <c r="DCA53" i="7" s="1"/>
  <c r="DCB53" i="7" s="1"/>
  <c r="DCC53" i="7" s="1"/>
  <c r="DCD53" i="7" s="1"/>
  <c r="DCE53" i="7" s="1"/>
  <c r="DCF53" i="7" s="1"/>
  <c r="DCG53" i="7" s="1"/>
  <c r="DCH53" i="7" s="1"/>
  <c r="DCI53" i="7" s="1"/>
  <c r="DCJ53" i="7" s="1"/>
  <c r="DCK53" i="7" s="1"/>
  <c r="DCL53" i="7" s="1"/>
  <c r="DCM53" i="7" s="1"/>
  <c r="DCN53" i="7" s="1"/>
  <c r="DCO53" i="7" s="1"/>
  <c r="DCP53" i="7" s="1"/>
  <c r="DCQ53" i="7" s="1"/>
  <c r="DCR53" i="7" s="1"/>
  <c r="DCS53" i="7" s="1"/>
  <c r="DCT53" i="7" s="1"/>
  <c r="DCU53" i="7" s="1"/>
  <c r="DCV53" i="7" s="1"/>
  <c r="DCW53" i="7" s="1"/>
  <c r="DCX53" i="7" s="1"/>
  <c r="DCY53" i="7" s="1"/>
  <c r="DCZ53" i="7" s="1"/>
  <c r="DDA53" i="7" s="1"/>
  <c r="DDB53" i="7" s="1"/>
  <c r="DDC53" i="7" s="1"/>
  <c r="DDD53" i="7" s="1"/>
  <c r="DDE53" i="7" s="1"/>
  <c r="DDF53" i="7" s="1"/>
  <c r="DDG53" i="7" s="1"/>
  <c r="DDH53" i="7" s="1"/>
  <c r="DDI53" i="7" s="1"/>
  <c r="DDJ53" i="7" s="1"/>
  <c r="DDK53" i="7" s="1"/>
  <c r="DDL53" i="7" s="1"/>
  <c r="DDM53" i="7" s="1"/>
  <c r="DDN53" i="7" s="1"/>
  <c r="DDO53" i="7" s="1"/>
  <c r="DDP53" i="7" s="1"/>
  <c r="DDQ53" i="7" s="1"/>
  <c r="DDR53" i="7" s="1"/>
  <c r="DDS53" i="7" s="1"/>
  <c r="DDT53" i="7" s="1"/>
  <c r="DDU53" i="7" s="1"/>
  <c r="DDV53" i="7" s="1"/>
  <c r="DDW53" i="7" s="1"/>
  <c r="DDX53" i="7" s="1"/>
  <c r="DDY53" i="7" s="1"/>
  <c r="DDZ53" i="7" s="1"/>
  <c r="DEA53" i="7" s="1"/>
  <c r="DEB53" i="7" s="1"/>
  <c r="DEC53" i="7" s="1"/>
  <c r="DED53" i="7" s="1"/>
  <c r="DEE53" i="7" s="1"/>
  <c r="DEF53" i="7" s="1"/>
  <c r="DEG53" i="7" s="1"/>
  <c r="DEH53" i="7" s="1"/>
  <c r="DEI53" i="7" s="1"/>
  <c r="DEJ53" i="7" s="1"/>
  <c r="DEK53" i="7" s="1"/>
  <c r="DEL53" i="7" s="1"/>
  <c r="DEM53" i="7" s="1"/>
  <c r="DEN53" i="7" s="1"/>
  <c r="DEO53" i="7" s="1"/>
  <c r="DEP53" i="7" s="1"/>
  <c r="DEQ53" i="7" s="1"/>
  <c r="DER53" i="7" s="1"/>
  <c r="DES53" i="7" s="1"/>
  <c r="DET53" i="7" s="1"/>
  <c r="DEU53" i="7" s="1"/>
  <c r="DEV53" i="7" s="1"/>
  <c r="DEW53" i="7" s="1"/>
  <c r="DEX53" i="7" s="1"/>
  <c r="DEY53" i="7" s="1"/>
  <c r="DEZ53" i="7" s="1"/>
  <c r="DFA53" i="7" s="1"/>
  <c r="DFB53" i="7" s="1"/>
  <c r="DFC53" i="7" s="1"/>
  <c r="DFD53" i="7" s="1"/>
  <c r="DFE53" i="7" s="1"/>
  <c r="DFF53" i="7" s="1"/>
  <c r="DFG53" i="7" s="1"/>
  <c r="DFH53" i="7" s="1"/>
  <c r="DFI53" i="7" s="1"/>
  <c r="DFJ53" i="7" s="1"/>
  <c r="DFK53" i="7" s="1"/>
  <c r="DFL53" i="7" s="1"/>
  <c r="DFM53" i="7" s="1"/>
  <c r="DFN53" i="7" s="1"/>
  <c r="DFO53" i="7" s="1"/>
  <c r="DFP53" i="7" s="1"/>
  <c r="DFQ53" i="7" s="1"/>
  <c r="DFR53" i="7" s="1"/>
  <c r="DFS53" i="7" s="1"/>
  <c r="DFT53" i="7" s="1"/>
  <c r="DFU53" i="7" s="1"/>
  <c r="DFV53" i="7" s="1"/>
  <c r="DFW53" i="7" s="1"/>
  <c r="DFX53" i="7" s="1"/>
  <c r="DFY53" i="7" s="1"/>
  <c r="DFZ53" i="7" s="1"/>
  <c r="DGA53" i="7" s="1"/>
  <c r="DGB53" i="7" s="1"/>
  <c r="DGC53" i="7" s="1"/>
  <c r="DGD53" i="7" s="1"/>
  <c r="DGE53" i="7" s="1"/>
  <c r="DGF53" i="7" s="1"/>
  <c r="DGG53" i="7" s="1"/>
  <c r="DGH53" i="7" s="1"/>
  <c r="DGI53" i="7" s="1"/>
  <c r="DGJ53" i="7" s="1"/>
  <c r="DGK53" i="7" s="1"/>
  <c r="DGL53" i="7" s="1"/>
  <c r="DGM53" i="7" s="1"/>
  <c r="DGN53" i="7" s="1"/>
  <c r="DGO53" i="7" s="1"/>
  <c r="DGP53" i="7" s="1"/>
  <c r="DGQ53" i="7" s="1"/>
  <c r="DGR53" i="7" s="1"/>
  <c r="DGS53" i="7" s="1"/>
  <c r="DGT53" i="7" s="1"/>
  <c r="DGU53" i="7" s="1"/>
  <c r="DGV53" i="7" s="1"/>
  <c r="DGW53" i="7" s="1"/>
  <c r="DGX53" i="7" s="1"/>
  <c r="DGY53" i="7" s="1"/>
  <c r="DGZ53" i="7" s="1"/>
  <c r="DHA53" i="7" s="1"/>
  <c r="DHB53" i="7" s="1"/>
  <c r="DHC53" i="7" s="1"/>
  <c r="DHD53" i="7" s="1"/>
  <c r="DHE53" i="7" s="1"/>
  <c r="DHF53" i="7" s="1"/>
  <c r="DHG53" i="7" s="1"/>
  <c r="DHH53" i="7" s="1"/>
  <c r="DHI53" i="7" s="1"/>
  <c r="DHJ53" i="7" s="1"/>
  <c r="DHK53" i="7" s="1"/>
  <c r="DHL53" i="7" s="1"/>
  <c r="DHM53" i="7" s="1"/>
  <c r="DHN53" i="7" s="1"/>
  <c r="DHO53" i="7" s="1"/>
  <c r="DHP53" i="7" s="1"/>
  <c r="DHQ53" i="7" s="1"/>
  <c r="DHR53" i="7" s="1"/>
  <c r="DHS53" i="7" s="1"/>
  <c r="DHT53" i="7" s="1"/>
  <c r="DHU53" i="7" s="1"/>
  <c r="DHV53" i="7" s="1"/>
  <c r="DHW53" i="7" s="1"/>
  <c r="DHX53" i="7" s="1"/>
  <c r="DHY53" i="7" s="1"/>
  <c r="DHZ53" i="7" s="1"/>
  <c r="DIA53" i="7" s="1"/>
  <c r="DIB53" i="7" s="1"/>
  <c r="DIC53" i="7" s="1"/>
  <c r="DID53" i="7" s="1"/>
  <c r="DIE53" i="7" s="1"/>
  <c r="DIF53" i="7" s="1"/>
  <c r="DIG53" i="7" s="1"/>
  <c r="DIH53" i="7" s="1"/>
  <c r="DII53" i="7" s="1"/>
  <c r="DIJ53" i="7" s="1"/>
  <c r="DIK53" i="7" s="1"/>
  <c r="DIL53" i="7" s="1"/>
  <c r="DIM53" i="7" s="1"/>
  <c r="DIN53" i="7" s="1"/>
  <c r="DIO53" i="7" s="1"/>
  <c r="DIP53" i="7" s="1"/>
  <c r="DIQ53" i="7" s="1"/>
  <c r="DIR53" i="7" s="1"/>
  <c r="DIS53" i="7" s="1"/>
  <c r="DIT53" i="7" s="1"/>
  <c r="DIU53" i="7" s="1"/>
  <c r="DIV53" i="7" s="1"/>
  <c r="DIW53" i="7" s="1"/>
  <c r="DIX53" i="7" s="1"/>
  <c r="DIY53" i="7" s="1"/>
  <c r="DIZ53" i="7" s="1"/>
  <c r="DJA53" i="7" s="1"/>
  <c r="DJB53" i="7" s="1"/>
  <c r="DJC53" i="7" s="1"/>
  <c r="DJD53" i="7" s="1"/>
  <c r="DJE53" i="7" s="1"/>
  <c r="DJF53" i="7" s="1"/>
  <c r="DJG53" i="7" s="1"/>
  <c r="DJH53" i="7" s="1"/>
  <c r="DJI53" i="7" s="1"/>
  <c r="DJJ53" i="7" s="1"/>
  <c r="DJK53" i="7" s="1"/>
  <c r="DJL53" i="7" s="1"/>
  <c r="DJM53" i="7" s="1"/>
  <c r="DJN53" i="7" s="1"/>
  <c r="DJO53" i="7" s="1"/>
  <c r="DJP53" i="7" s="1"/>
  <c r="DJQ53" i="7" s="1"/>
  <c r="DJR53" i="7" s="1"/>
  <c r="DJS53" i="7" s="1"/>
  <c r="DJT53" i="7" s="1"/>
  <c r="DJU53" i="7" s="1"/>
  <c r="DJV53" i="7" s="1"/>
  <c r="DJW53" i="7" s="1"/>
  <c r="DJX53" i="7" s="1"/>
  <c r="DJY53" i="7" s="1"/>
  <c r="DJZ53" i="7" s="1"/>
  <c r="DKA53" i="7" s="1"/>
  <c r="DKB53" i="7" s="1"/>
  <c r="DKC53" i="7" s="1"/>
  <c r="DKD53" i="7" s="1"/>
  <c r="DKE53" i="7" s="1"/>
  <c r="DKF53" i="7" s="1"/>
  <c r="DKG53" i="7" s="1"/>
  <c r="DKH53" i="7" s="1"/>
  <c r="DKI53" i="7" s="1"/>
  <c r="DKJ53" i="7" s="1"/>
  <c r="DKK53" i="7" s="1"/>
  <c r="DKL53" i="7" s="1"/>
  <c r="DKM53" i="7" s="1"/>
  <c r="DKN53" i="7" s="1"/>
  <c r="DKO53" i="7" s="1"/>
  <c r="DKP53" i="7" s="1"/>
  <c r="DKQ53" i="7" s="1"/>
  <c r="DKR53" i="7" s="1"/>
  <c r="DKS53" i="7" s="1"/>
  <c r="DKT53" i="7" s="1"/>
  <c r="DKU53" i="7" s="1"/>
  <c r="DKV53" i="7" s="1"/>
  <c r="DKW53" i="7" s="1"/>
  <c r="DKX53" i="7" s="1"/>
  <c r="DKY53" i="7" s="1"/>
  <c r="DKZ53" i="7" s="1"/>
  <c r="DLA53" i="7" s="1"/>
  <c r="DLB53" i="7" s="1"/>
  <c r="DLC53" i="7" s="1"/>
  <c r="DLD53" i="7" s="1"/>
  <c r="DLE53" i="7" s="1"/>
  <c r="DLF53" i="7" s="1"/>
  <c r="DLG53" i="7" s="1"/>
  <c r="DLH53" i="7" s="1"/>
  <c r="DLI53" i="7" s="1"/>
  <c r="DLJ53" i="7" s="1"/>
  <c r="DLK53" i="7" s="1"/>
  <c r="DLL53" i="7" s="1"/>
  <c r="DLM53" i="7" s="1"/>
  <c r="DLN53" i="7" s="1"/>
  <c r="DLO53" i="7" s="1"/>
  <c r="DLP53" i="7" s="1"/>
  <c r="DLQ53" i="7" s="1"/>
  <c r="DLR53" i="7" s="1"/>
  <c r="DLS53" i="7" s="1"/>
  <c r="DLT53" i="7" s="1"/>
  <c r="DLU53" i="7" s="1"/>
  <c r="DLV53" i="7" s="1"/>
  <c r="DLW53" i="7" s="1"/>
  <c r="DLX53" i="7" s="1"/>
  <c r="DLY53" i="7" s="1"/>
  <c r="DLZ53" i="7" s="1"/>
  <c r="DMA53" i="7" s="1"/>
  <c r="DMB53" i="7" s="1"/>
  <c r="DMC53" i="7" s="1"/>
  <c r="DMD53" i="7" s="1"/>
  <c r="DME53" i="7" s="1"/>
  <c r="DMF53" i="7" s="1"/>
  <c r="DMG53" i="7" s="1"/>
  <c r="DMH53" i="7" s="1"/>
  <c r="DMI53" i="7" s="1"/>
  <c r="DMJ53" i="7" s="1"/>
  <c r="DMK53" i="7" s="1"/>
  <c r="DML53" i="7" s="1"/>
  <c r="DMM53" i="7" s="1"/>
  <c r="DMN53" i="7" s="1"/>
  <c r="DMO53" i="7" s="1"/>
  <c r="DMP53" i="7" s="1"/>
  <c r="DMQ53" i="7" s="1"/>
  <c r="DMR53" i="7" s="1"/>
  <c r="DMS53" i="7" s="1"/>
  <c r="DMT53" i="7" s="1"/>
  <c r="DMU53" i="7" s="1"/>
  <c r="DMV53" i="7" s="1"/>
  <c r="DMW53" i="7" s="1"/>
  <c r="DMX53" i="7" s="1"/>
  <c r="DMY53" i="7" s="1"/>
  <c r="DMZ53" i="7" s="1"/>
  <c r="DNA53" i="7" s="1"/>
  <c r="DNB53" i="7" s="1"/>
  <c r="DNC53" i="7" s="1"/>
  <c r="DND53" i="7" s="1"/>
  <c r="DNE53" i="7" s="1"/>
  <c r="DNF53" i="7" s="1"/>
  <c r="DNG53" i="7" s="1"/>
  <c r="DNH53" i="7" s="1"/>
  <c r="DNI53" i="7" s="1"/>
  <c r="DNJ53" i="7" s="1"/>
  <c r="DNK53" i="7" s="1"/>
  <c r="DNL53" i="7" s="1"/>
  <c r="DNM53" i="7" s="1"/>
  <c r="DNN53" i="7" s="1"/>
  <c r="DNO53" i="7" s="1"/>
  <c r="DNP53" i="7" s="1"/>
  <c r="DNQ53" i="7" s="1"/>
  <c r="DNR53" i="7" s="1"/>
  <c r="DNS53" i="7" s="1"/>
  <c r="DNT53" i="7" s="1"/>
  <c r="DNU53" i="7" s="1"/>
  <c r="DNV53" i="7" s="1"/>
  <c r="DNW53" i="7" s="1"/>
  <c r="DNX53" i="7" s="1"/>
  <c r="DNY53" i="7" s="1"/>
  <c r="DNZ53" i="7" s="1"/>
  <c r="DOA53" i="7" s="1"/>
  <c r="DOB53" i="7" s="1"/>
  <c r="DOC53" i="7" s="1"/>
  <c r="DOD53" i="7" s="1"/>
  <c r="DOE53" i="7" s="1"/>
  <c r="DOF53" i="7" s="1"/>
  <c r="DOG53" i="7" s="1"/>
  <c r="DOH53" i="7" s="1"/>
  <c r="DOI53" i="7" s="1"/>
  <c r="DOJ53" i="7" s="1"/>
  <c r="DOK53" i="7" s="1"/>
  <c r="DOL53" i="7" s="1"/>
  <c r="DOM53" i="7" s="1"/>
  <c r="DON53" i="7" s="1"/>
  <c r="DOO53" i="7" s="1"/>
  <c r="DOP53" i="7" s="1"/>
  <c r="DOQ53" i="7" s="1"/>
  <c r="DOR53" i="7" s="1"/>
  <c r="DOS53" i="7" s="1"/>
  <c r="DOT53" i="7" s="1"/>
  <c r="DOU53" i="7" s="1"/>
  <c r="DOV53" i="7" s="1"/>
  <c r="DOW53" i="7" s="1"/>
  <c r="DOX53" i="7" s="1"/>
  <c r="DOY53" i="7" s="1"/>
  <c r="DOZ53" i="7" s="1"/>
  <c r="DPA53" i="7" s="1"/>
  <c r="DPB53" i="7" s="1"/>
  <c r="DPC53" i="7" s="1"/>
  <c r="DPD53" i="7" s="1"/>
  <c r="DPE53" i="7" s="1"/>
  <c r="DPF53" i="7" s="1"/>
  <c r="DPG53" i="7" s="1"/>
  <c r="DPH53" i="7" s="1"/>
  <c r="DPI53" i="7" s="1"/>
  <c r="DPJ53" i="7" s="1"/>
  <c r="DPK53" i="7" s="1"/>
  <c r="DPL53" i="7" s="1"/>
  <c r="DPM53" i="7" s="1"/>
  <c r="DPN53" i="7" s="1"/>
  <c r="DPO53" i="7" s="1"/>
  <c r="DPP53" i="7" s="1"/>
  <c r="DPQ53" i="7" s="1"/>
  <c r="DPR53" i="7" s="1"/>
  <c r="DPS53" i="7" s="1"/>
  <c r="DPT53" i="7" s="1"/>
  <c r="DPU53" i="7" s="1"/>
  <c r="DPV53" i="7" s="1"/>
  <c r="DPW53" i="7" s="1"/>
  <c r="DPX53" i="7" s="1"/>
  <c r="DPY53" i="7" s="1"/>
  <c r="DPZ53" i="7" s="1"/>
  <c r="DQA53" i="7" s="1"/>
  <c r="DQB53" i="7" s="1"/>
  <c r="DQC53" i="7" s="1"/>
  <c r="DQD53" i="7" s="1"/>
  <c r="DQE53" i="7" s="1"/>
  <c r="DQF53" i="7" s="1"/>
  <c r="DQG53" i="7" s="1"/>
  <c r="DQH53" i="7" s="1"/>
  <c r="DQI53" i="7" s="1"/>
  <c r="DQJ53" i="7" s="1"/>
  <c r="DQK53" i="7" s="1"/>
  <c r="DQL53" i="7" s="1"/>
  <c r="DQM53" i="7" s="1"/>
  <c r="DQN53" i="7" s="1"/>
  <c r="DQO53" i="7" s="1"/>
  <c r="DQP53" i="7" s="1"/>
  <c r="DQQ53" i="7" s="1"/>
  <c r="DQR53" i="7" s="1"/>
  <c r="DQS53" i="7" s="1"/>
  <c r="DQT53" i="7" s="1"/>
  <c r="DQU53" i="7" s="1"/>
  <c r="DQV53" i="7" s="1"/>
  <c r="DQW53" i="7" s="1"/>
  <c r="DQX53" i="7" s="1"/>
  <c r="DQY53" i="7" s="1"/>
  <c r="DQZ53" i="7" s="1"/>
  <c r="DRA53" i="7" s="1"/>
  <c r="DRB53" i="7" s="1"/>
  <c r="DRC53" i="7" s="1"/>
  <c r="DRD53" i="7" s="1"/>
  <c r="DRE53" i="7" s="1"/>
  <c r="DRF53" i="7" s="1"/>
  <c r="DRG53" i="7" s="1"/>
  <c r="DRH53" i="7" s="1"/>
  <c r="DRI53" i="7" s="1"/>
  <c r="DRJ53" i="7" s="1"/>
  <c r="DRK53" i="7" s="1"/>
  <c r="DRL53" i="7" s="1"/>
  <c r="DRM53" i="7" s="1"/>
  <c r="DRN53" i="7" s="1"/>
  <c r="DRO53" i="7" s="1"/>
  <c r="DRP53" i="7" s="1"/>
  <c r="DRQ53" i="7" s="1"/>
  <c r="DRR53" i="7" s="1"/>
  <c r="DRS53" i="7" s="1"/>
  <c r="DRT53" i="7" s="1"/>
  <c r="DRU53" i="7" s="1"/>
  <c r="DRV53" i="7" s="1"/>
  <c r="DRW53" i="7" s="1"/>
  <c r="DRX53" i="7" s="1"/>
  <c r="DRY53" i="7" s="1"/>
  <c r="DRZ53" i="7" s="1"/>
  <c r="DSA53" i="7" s="1"/>
  <c r="DSB53" i="7" s="1"/>
  <c r="DSC53" i="7" s="1"/>
  <c r="DSD53" i="7" s="1"/>
  <c r="DSE53" i="7" s="1"/>
  <c r="DSF53" i="7" s="1"/>
  <c r="DSG53" i="7" s="1"/>
  <c r="DSH53" i="7" s="1"/>
  <c r="DSI53" i="7" s="1"/>
  <c r="DSJ53" i="7" s="1"/>
  <c r="DSK53" i="7" s="1"/>
  <c r="DSL53" i="7" s="1"/>
  <c r="DSM53" i="7" s="1"/>
  <c r="DSN53" i="7" s="1"/>
  <c r="DSO53" i="7" s="1"/>
  <c r="DSP53" i="7" s="1"/>
  <c r="DSQ53" i="7" s="1"/>
  <c r="DSR53" i="7" s="1"/>
  <c r="DSS53" i="7" s="1"/>
  <c r="DST53" i="7" s="1"/>
  <c r="DSU53" i="7" s="1"/>
  <c r="DSV53" i="7" s="1"/>
  <c r="DSW53" i="7" s="1"/>
  <c r="DSX53" i="7" s="1"/>
  <c r="DSY53" i="7" s="1"/>
  <c r="DSZ53" i="7" s="1"/>
  <c r="DTA53" i="7" s="1"/>
  <c r="DTB53" i="7" s="1"/>
  <c r="DTC53" i="7" s="1"/>
  <c r="DTD53" i="7" s="1"/>
  <c r="DTE53" i="7" s="1"/>
  <c r="DTF53" i="7" s="1"/>
  <c r="DTG53" i="7" s="1"/>
  <c r="DTH53" i="7" s="1"/>
  <c r="DTI53" i="7" s="1"/>
  <c r="DTJ53" i="7" s="1"/>
  <c r="DTK53" i="7" s="1"/>
  <c r="DTL53" i="7" s="1"/>
  <c r="DTM53" i="7" s="1"/>
  <c r="DTN53" i="7" s="1"/>
  <c r="DTO53" i="7" s="1"/>
  <c r="DTP53" i="7" s="1"/>
  <c r="DTQ53" i="7" s="1"/>
  <c r="DTR53" i="7" s="1"/>
  <c r="DTS53" i="7" s="1"/>
  <c r="DTT53" i="7" s="1"/>
  <c r="DTU53" i="7" s="1"/>
  <c r="DTV53" i="7" s="1"/>
  <c r="DTW53" i="7" s="1"/>
  <c r="DTX53" i="7" s="1"/>
  <c r="DTY53" i="7" s="1"/>
  <c r="DTZ53" i="7" s="1"/>
  <c r="DUA53" i="7" s="1"/>
  <c r="DUB53" i="7" s="1"/>
  <c r="DUC53" i="7" s="1"/>
  <c r="DUD53" i="7" s="1"/>
  <c r="DUE53" i="7" s="1"/>
  <c r="DUF53" i="7" s="1"/>
  <c r="DUG53" i="7" s="1"/>
  <c r="DUH53" i="7" s="1"/>
  <c r="DUI53" i="7" s="1"/>
  <c r="DUJ53" i="7" s="1"/>
  <c r="DUK53" i="7" s="1"/>
  <c r="DUL53" i="7" s="1"/>
  <c r="DUM53" i="7" s="1"/>
  <c r="DUN53" i="7" s="1"/>
  <c r="DUO53" i="7" s="1"/>
  <c r="DUP53" i="7" s="1"/>
  <c r="DUQ53" i="7" s="1"/>
  <c r="DUR53" i="7" s="1"/>
  <c r="DUS53" i="7" s="1"/>
  <c r="DUT53" i="7" s="1"/>
  <c r="DUU53" i="7" s="1"/>
  <c r="DUV53" i="7" s="1"/>
  <c r="DUW53" i="7" s="1"/>
  <c r="DUX53" i="7" s="1"/>
  <c r="DUY53" i="7" s="1"/>
  <c r="DUZ53" i="7" s="1"/>
  <c r="DVA53" i="7" s="1"/>
  <c r="DVB53" i="7" s="1"/>
  <c r="DVC53" i="7" s="1"/>
  <c r="DVD53" i="7" s="1"/>
  <c r="DVE53" i="7" s="1"/>
  <c r="DVF53" i="7" s="1"/>
  <c r="DVG53" i="7" s="1"/>
  <c r="DVH53" i="7" s="1"/>
  <c r="DVI53" i="7" s="1"/>
  <c r="DVJ53" i="7" s="1"/>
  <c r="DVK53" i="7" s="1"/>
  <c r="DVL53" i="7" s="1"/>
  <c r="DVM53" i="7" s="1"/>
  <c r="DVN53" i="7" s="1"/>
  <c r="DVO53" i="7" s="1"/>
  <c r="DVP53" i="7" s="1"/>
  <c r="DVQ53" i="7" s="1"/>
  <c r="DVR53" i="7" s="1"/>
  <c r="DVS53" i="7" s="1"/>
  <c r="DVT53" i="7" s="1"/>
  <c r="DVU53" i="7" s="1"/>
  <c r="DVV53" i="7" s="1"/>
  <c r="DVW53" i="7" s="1"/>
  <c r="DVX53" i="7" s="1"/>
  <c r="DVY53" i="7" s="1"/>
  <c r="DVZ53" i="7" s="1"/>
  <c r="DWA53" i="7" s="1"/>
  <c r="DWB53" i="7" s="1"/>
  <c r="DWC53" i="7" s="1"/>
  <c r="DWD53" i="7" s="1"/>
  <c r="DWE53" i="7" s="1"/>
  <c r="DWF53" i="7" s="1"/>
  <c r="DWG53" i="7" s="1"/>
  <c r="DWH53" i="7" s="1"/>
  <c r="DWI53" i="7" s="1"/>
  <c r="DWJ53" i="7" s="1"/>
  <c r="DWK53" i="7" s="1"/>
  <c r="DWL53" i="7" s="1"/>
  <c r="DWM53" i="7" s="1"/>
  <c r="DWN53" i="7" s="1"/>
  <c r="DWO53" i="7" s="1"/>
  <c r="DWP53" i="7" s="1"/>
  <c r="DWQ53" i="7" s="1"/>
  <c r="DWR53" i="7" s="1"/>
  <c r="DWS53" i="7" s="1"/>
  <c r="DWT53" i="7" s="1"/>
  <c r="DWU53" i="7" s="1"/>
  <c r="DWV53" i="7" s="1"/>
  <c r="DWW53" i="7" s="1"/>
  <c r="DWX53" i="7" s="1"/>
  <c r="DWY53" i="7" s="1"/>
  <c r="DWZ53" i="7" s="1"/>
  <c r="DXA53" i="7" s="1"/>
  <c r="DXB53" i="7" s="1"/>
  <c r="DXC53" i="7" s="1"/>
  <c r="DXD53" i="7" s="1"/>
  <c r="DXE53" i="7" s="1"/>
  <c r="DXF53" i="7" s="1"/>
  <c r="DXG53" i="7" s="1"/>
  <c r="DXH53" i="7" s="1"/>
  <c r="DXI53" i="7" s="1"/>
  <c r="DXJ53" i="7" s="1"/>
  <c r="DXK53" i="7" s="1"/>
  <c r="DXL53" i="7" s="1"/>
  <c r="DXM53" i="7" s="1"/>
  <c r="DXN53" i="7" s="1"/>
  <c r="DXO53" i="7" s="1"/>
  <c r="DXP53" i="7" s="1"/>
  <c r="DXQ53" i="7" s="1"/>
  <c r="DXR53" i="7" s="1"/>
  <c r="DXS53" i="7" s="1"/>
  <c r="DXT53" i="7" s="1"/>
  <c r="DXU53" i="7" s="1"/>
  <c r="DXV53" i="7" s="1"/>
  <c r="DXW53" i="7" s="1"/>
  <c r="DXX53" i="7" s="1"/>
  <c r="DXY53" i="7" s="1"/>
  <c r="DXZ53" i="7" s="1"/>
  <c r="DYA53" i="7" s="1"/>
  <c r="DYB53" i="7" s="1"/>
  <c r="DYC53" i="7" s="1"/>
  <c r="DYD53" i="7" s="1"/>
  <c r="DYE53" i="7" s="1"/>
  <c r="DYF53" i="7" s="1"/>
  <c r="DYG53" i="7" s="1"/>
  <c r="DYH53" i="7" s="1"/>
  <c r="DYI53" i="7" s="1"/>
  <c r="DYJ53" i="7" s="1"/>
  <c r="DYK53" i="7" s="1"/>
  <c r="DYL53" i="7" s="1"/>
  <c r="DYM53" i="7" s="1"/>
  <c r="DYN53" i="7" s="1"/>
  <c r="DYO53" i="7" s="1"/>
  <c r="DYP53" i="7" s="1"/>
  <c r="DYQ53" i="7" s="1"/>
  <c r="DYR53" i="7" s="1"/>
  <c r="DYS53" i="7" s="1"/>
  <c r="DYT53" i="7" s="1"/>
  <c r="DYU53" i="7" s="1"/>
  <c r="DYV53" i="7" s="1"/>
  <c r="DYW53" i="7" s="1"/>
  <c r="DYX53" i="7" s="1"/>
  <c r="DYY53" i="7" s="1"/>
  <c r="DYZ53" i="7" s="1"/>
  <c r="DZA53" i="7" s="1"/>
  <c r="DZB53" i="7" s="1"/>
  <c r="DZC53" i="7" s="1"/>
  <c r="DZD53" i="7" s="1"/>
  <c r="DZE53" i="7" s="1"/>
  <c r="DZF53" i="7" s="1"/>
  <c r="DZG53" i="7" s="1"/>
  <c r="DZH53" i="7" s="1"/>
  <c r="DZI53" i="7" s="1"/>
  <c r="DZJ53" i="7" s="1"/>
  <c r="DZK53" i="7" s="1"/>
  <c r="DZL53" i="7" s="1"/>
  <c r="DZM53" i="7" s="1"/>
  <c r="DZN53" i="7" s="1"/>
  <c r="DZO53" i="7" s="1"/>
  <c r="DZP53" i="7" s="1"/>
  <c r="DZQ53" i="7" s="1"/>
  <c r="DZR53" i="7" s="1"/>
  <c r="DZS53" i="7" s="1"/>
  <c r="DZT53" i="7" s="1"/>
  <c r="DZU53" i="7" s="1"/>
  <c r="DZV53" i="7" s="1"/>
  <c r="DZW53" i="7" s="1"/>
  <c r="DZX53" i="7" s="1"/>
  <c r="DZY53" i="7" s="1"/>
  <c r="DZZ53" i="7" s="1"/>
  <c r="EAA53" i="7" s="1"/>
  <c r="EAB53" i="7" s="1"/>
  <c r="EAC53" i="7" s="1"/>
  <c r="EAD53" i="7" s="1"/>
  <c r="EAE53" i="7" s="1"/>
  <c r="EAF53" i="7" s="1"/>
  <c r="EAG53" i="7" s="1"/>
  <c r="EAH53" i="7" s="1"/>
  <c r="EAI53" i="7" s="1"/>
  <c r="EAJ53" i="7" s="1"/>
  <c r="EAK53" i="7" s="1"/>
  <c r="EAL53" i="7" s="1"/>
  <c r="EAM53" i="7" s="1"/>
  <c r="EAN53" i="7" s="1"/>
  <c r="EAO53" i="7" s="1"/>
  <c r="EAP53" i="7" s="1"/>
  <c r="EAQ53" i="7" s="1"/>
  <c r="EAR53" i="7" s="1"/>
  <c r="EAS53" i="7" s="1"/>
  <c r="EAT53" i="7" s="1"/>
  <c r="EAU53" i="7" s="1"/>
  <c r="EAV53" i="7" s="1"/>
  <c r="EAW53" i="7" s="1"/>
  <c r="EAX53" i="7" s="1"/>
  <c r="EAY53" i="7" s="1"/>
  <c r="EAZ53" i="7" s="1"/>
  <c r="EBA53" i="7" s="1"/>
  <c r="EBB53" i="7" s="1"/>
  <c r="EBC53" i="7" s="1"/>
  <c r="EBD53" i="7" s="1"/>
  <c r="EBE53" i="7" s="1"/>
  <c r="EBF53" i="7" s="1"/>
  <c r="EBG53" i="7" s="1"/>
  <c r="EBH53" i="7" s="1"/>
  <c r="EBI53" i="7" s="1"/>
  <c r="EBJ53" i="7" s="1"/>
  <c r="EBK53" i="7" s="1"/>
  <c r="EBL53" i="7" s="1"/>
  <c r="EBM53" i="7" s="1"/>
  <c r="EBN53" i="7" s="1"/>
  <c r="EBO53" i="7" s="1"/>
  <c r="EBP53" i="7" s="1"/>
  <c r="EBQ53" i="7" s="1"/>
  <c r="EBR53" i="7" s="1"/>
  <c r="EBS53" i="7" s="1"/>
  <c r="EBT53" i="7" s="1"/>
  <c r="EBU53" i="7" s="1"/>
  <c r="EBV53" i="7" s="1"/>
  <c r="EBW53" i="7" s="1"/>
  <c r="EBX53" i="7" s="1"/>
  <c r="EBY53" i="7" s="1"/>
  <c r="EBZ53" i="7" s="1"/>
  <c r="ECA53" i="7" s="1"/>
  <c r="ECB53" i="7" s="1"/>
  <c r="ECC53" i="7" s="1"/>
  <c r="ECD53" i="7" s="1"/>
  <c r="ECE53" i="7" s="1"/>
  <c r="ECF53" i="7" s="1"/>
  <c r="ECG53" i="7" s="1"/>
  <c r="ECH53" i="7" s="1"/>
  <c r="ECI53" i="7" s="1"/>
  <c r="ECJ53" i="7" s="1"/>
  <c r="ECK53" i="7" s="1"/>
  <c r="ECL53" i="7" s="1"/>
  <c r="ECM53" i="7" s="1"/>
  <c r="ECN53" i="7" s="1"/>
  <c r="ECO53" i="7" s="1"/>
  <c r="ECP53" i="7" s="1"/>
  <c r="ECQ53" i="7" s="1"/>
  <c r="ECR53" i="7" s="1"/>
  <c r="ECS53" i="7" s="1"/>
  <c r="ECT53" i="7" s="1"/>
  <c r="ECU53" i="7" s="1"/>
  <c r="ECV53" i="7" s="1"/>
  <c r="ECW53" i="7" s="1"/>
  <c r="ECX53" i="7" s="1"/>
  <c r="ECY53" i="7" s="1"/>
  <c r="ECZ53" i="7" s="1"/>
  <c r="EDA53" i="7" s="1"/>
  <c r="EDB53" i="7" s="1"/>
  <c r="EDC53" i="7" s="1"/>
  <c r="EDD53" i="7" s="1"/>
  <c r="EDE53" i="7" s="1"/>
  <c r="EDF53" i="7" s="1"/>
  <c r="EDG53" i="7" s="1"/>
  <c r="EDH53" i="7" s="1"/>
  <c r="EDI53" i="7" s="1"/>
  <c r="EDJ53" i="7" s="1"/>
  <c r="EDK53" i="7" s="1"/>
  <c r="EDL53" i="7" s="1"/>
  <c r="EDM53" i="7" s="1"/>
  <c r="EDN53" i="7" s="1"/>
  <c r="EDO53" i="7" s="1"/>
  <c r="EDP53" i="7" s="1"/>
  <c r="EDQ53" i="7" s="1"/>
  <c r="EDR53" i="7" s="1"/>
  <c r="EDS53" i="7" s="1"/>
  <c r="EDT53" i="7" s="1"/>
  <c r="EDU53" i="7" s="1"/>
  <c r="EDV53" i="7" s="1"/>
  <c r="EDW53" i="7" s="1"/>
  <c r="EDX53" i="7" s="1"/>
  <c r="EDY53" i="7" s="1"/>
  <c r="EDZ53" i="7" s="1"/>
  <c r="EEA53" i="7" s="1"/>
  <c r="EEB53" i="7" s="1"/>
  <c r="EEC53" i="7" s="1"/>
  <c r="EED53" i="7" s="1"/>
  <c r="EEE53" i="7" s="1"/>
  <c r="EEF53" i="7" s="1"/>
  <c r="EEG53" i="7" s="1"/>
  <c r="EEH53" i="7" s="1"/>
  <c r="EEI53" i="7" s="1"/>
  <c r="EEJ53" i="7" s="1"/>
  <c r="EEK53" i="7" s="1"/>
  <c r="EEL53" i="7" s="1"/>
  <c r="EEM53" i="7" s="1"/>
  <c r="EEN53" i="7" s="1"/>
  <c r="EEO53" i="7" s="1"/>
  <c r="EEP53" i="7" s="1"/>
  <c r="EEQ53" i="7" s="1"/>
  <c r="EER53" i="7" s="1"/>
  <c r="EES53" i="7" s="1"/>
  <c r="EET53" i="7" s="1"/>
  <c r="EEU53" i="7" s="1"/>
  <c r="EEV53" i="7" s="1"/>
  <c r="EEW53" i="7" s="1"/>
  <c r="EEX53" i="7" s="1"/>
  <c r="EEY53" i="7" s="1"/>
  <c r="EEZ53" i="7" s="1"/>
  <c r="EFA53" i="7" s="1"/>
  <c r="EFB53" i="7" s="1"/>
  <c r="EFC53" i="7" s="1"/>
  <c r="EFD53" i="7" s="1"/>
  <c r="EFE53" i="7" s="1"/>
  <c r="EFF53" i="7" s="1"/>
  <c r="EFG53" i="7" s="1"/>
  <c r="EFH53" i="7" s="1"/>
  <c r="EFI53" i="7" s="1"/>
  <c r="EFJ53" i="7" s="1"/>
  <c r="EFK53" i="7" s="1"/>
  <c r="EFL53" i="7" s="1"/>
  <c r="EFM53" i="7" s="1"/>
  <c r="EFN53" i="7" s="1"/>
  <c r="EFO53" i="7" s="1"/>
  <c r="EFP53" i="7" s="1"/>
  <c r="EFQ53" i="7" s="1"/>
  <c r="EFR53" i="7" s="1"/>
  <c r="EFS53" i="7" s="1"/>
  <c r="EFT53" i="7" s="1"/>
  <c r="EFU53" i="7" s="1"/>
  <c r="EFV53" i="7" s="1"/>
  <c r="EFW53" i="7" s="1"/>
  <c r="EFX53" i="7" s="1"/>
  <c r="EFY53" i="7" s="1"/>
  <c r="EFZ53" i="7" s="1"/>
  <c r="EGA53" i="7" s="1"/>
  <c r="EGB53" i="7" s="1"/>
  <c r="EGC53" i="7" s="1"/>
  <c r="EGD53" i="7" s="1"/>
  <c r="EGE53" i="7" s="1"/>
  <c r="EGF53" i="7" s="1"/>
  <c r="EGG53" i="7" s="1"/>
  <c r="EGH53" i="7" s="1"/>
  <c r="EGI53" i="7" s="1"/>
  <c r="EGJ53" i="7" s="1"/>
  <c r="EGK53" i="7" s="1"/>
  <c r="EGL53" i="7" s="1"/>
  <c r="EGM53" i="7" s="1"/>
  <c r="EGN53" i="7" s="1"/>
  <c r="EGO53" i="7" s="1"/>
  <c r="EGP53" i="7" s="1"/>
  <c r="EGQ53" i="7" s="1"/>
  <c r="EGR53" i="7" s="1"/>
  <c r="EGS53" i="7" s="1"/>
  <c r="EGT53" i="7" s="1"/>
  <c r="EGU53" i="7" s="1"/>
  <c r="EGV53" i="7" s="1"/>
  <c r="EGW53" i="7" s="1"/>
  <c r="EGX53" i="7" s="1"/>
  <c r="EGY53" i="7" s="1"/>
  <c r="EGZ53" i="7" s="1"/>
  <c r="EHA53" i="7" s="1"/>
  <c r="EHB53" i="7" s="1"/>
  <c r="EHC53" i="7" s="1"/>
  <c r="EHD53" i="7" s="1"/>
  <c r="EHE53" i="7" s="1"/>
  <c r="EHF53" i="7" s="1"/>
  <c r="EHG53" i="7" s="1"/>
  <c r="EHH53" i="7" s="1"/>
  <c r="EHI53" i="7" s="1"/>
  <c r="EHJ53" i="7" s="1"/>
  <c r="EHK53" i="7" s="1"/>
  <c r="EHL53" i="7" s="1"/>
  <c r="EHM53" i="7" s="1"/>
  <c r="EHN53" i="7" s="1"/>
  <c r="EHO53" i="7" s="1"/>
  <c r="EHP53" i="7" s="1"/>
  <c r="EHQ53" i="7" s="1"/>
  <c r="EHR53" i="7" s="1"/>
  <c r="EHS53" i="7" s="1"/>
  <c r="EHT53" i="7" s="1"/>
  <c r="EHU53" i="7" s="1"/>
  <c r="EHV53" i="7" s="1"/>
  <c r="EHW53" i="7" s="1"/>
  <c r="EHX53" i="7" s="1"/>
  <c r="EHY53" i="7" s="1"/>
  <c r="EHZ53" i="7" s="1"/>
  <c r="EIA53" i="7" s="1"/>
  <c r="EIB53" i="7" s="1"/>
  <c r="EIC53" i="7" s="1"/>
  <c r="EID53" i="7" s="1"/>
  <c r="EIE53" i="7" s="1"/>
  <c r="EIF53" i="7" s="1"/>
  <c r="EIG53" i="7" s="1"/>
  <c r="EIH53" i="7" s="1"/>
  <c r="EII53" i="7" s="1"/>
  <c r="EIJ53" i="7" s="1"/>
  <c r="EIK53" i="7" s="1"/>
  <c r="EIL53" i="7" s="1"/>
  <c r="EIM53" i="7" s="1"/>
  <c r="EIN53" i="7" s="1"/>
  <c r="EIO53" i="7" s="1"/>
  <c r="EIP53" i="7" s="1"/>
  <c r="EIQ53" i="7" s="1"/>
  <c r="EIR53" i="7" s="1"/>
  <c r="EIS53" i="7" s="1"/>
  <c r="EIT53" i="7" s="1"/>
  <c r="EIU53" i="7" s="1"/>
  <c r="EIV53" i="7" s="1"/>
  <c r="EIW53" i="7" s="1"/>
  <c r="EIX53" i="7" s="1"/>
  <c r="EIY53" i="7" s="1"/>
  <c r="EIZ53" i="7" s="1"/>
  <c r="EJA53" i="7" s="1"/>
  <c r="EJB53" i="7" s="1"/>
  <c r="EJC53" i="7" s="1"/>
  <c r="EJD53" i="7" s="1"/>
  <c r="EJE53" i="7" s="1"/>
  <c r="EJF53" i="7" s="1"/>
  <c r="EJG53" i="7" s="1"/>
  <c r="EJH53" i="7" s="1"/>
  <c r="EJI53" i="7" s="1"/>
  <c r="EJJ53" i="7" s="1"/>
  <c r="EJK53" i="7" s="1"/>
  <c r="EJL53" i="7" s="1"/>
  <c r="EJM53" i="7" s="1"/>
  <c r="EJN53" i="7" s="1"/>
  <c r="EJO53" i="7" s="1"/>
  <c r="EJP53" i="7" s="1"/>
  <c r="EJQ53" i="7" s="1"/>
  <c r="EJR53" i="7" s="1"/>
  <c r="EJS53" i="7" s="1"/>
  <c r="EJT53" i="7" s="1"/>
  <c r="EJU53" i="7" s="1"/>
  <c r="EJV53" i="7" s="1"/>
  <c r="EJW53" i="7" s="1"/>
  <c r="EJX53" i="7" s="1"/>
  <c r="EJY53" i="7" s="1"/>
  <c r="EJZ53" i="7" s="1"/>
  <c r="EKA53" i="7" s="1"/>
  <c r="EKB53" i="7" s="1"/>
  <c r="EKC53" i="7" s="1"/>
  <c r="EKD53" i="7" s="1"/>
  <c r="EKE53" i="7" s="1"/>
  <c r="EKF53" i="7" s="1"/>
  <c r="EKG53" i="7" s="1"/>
  <c r="EKH53" i="7" s="1"/>
  <c r="EKI53" i="7" s="1"/>
  <c r="EKJ53" i="7" s="1"/>
  <c r="EKK53" i="7" s="1"/>
  <c r="EKL53" i="7" s="1"/>
  <c r="EKM53" i="7" s="1"/>
  <c r="EKN53" i="7" s="1"/>
  <c r="EKO53" i="7" s="1"/>
  <c r="EKP53" i="7" s="1"/>
  <c r="EKQ53" i="7" s="1"/>
  <c r="EKR53" i="7" s="1"/>
  <c r="EKS53" i="7" s="1"/>
  <c r="EKT53" i="7" s="1"/>
  <c r="EKU53" i="7" s="1"/>
  <c r="EKV53" i="7" s="1"/>
  <c r="EKW53" i="7" s="1"/>
  <c r="EKX53" i="7" s="1"/>
  <c r="EKY53" i="7" s="1"/>
  <c r="EKZ53" i="7" s="1"/>
  <c r="ELA53" i="7" s="1"/>
  <c r="ELB53" i="7" s="1"/>
  <c r="ELC53" i="7" s="1"/>
  <c r="ELD53" i="7" s="1"/>
  <c r="ELE53" i="7" s="1"/>
  <c r="ELF53" i="7" s="1"/>
  <c r="ELG53" i="7" s="1"/>
  <c r="ELH53" i="7" s="1"/>
  <c r="ELI53" i="7" s="1"/>
  <c r="ELJ53" i="7" s="1"/>
  <c r="ELK53" i="7" s="1"/>
  <c r="ELL53" i="7" s="1"/>
  <c r="ELM53" i="7" s="1"/>
  <c r="ELN53" i="7" s="1"/>
  <c r="ELO53" i="7" s="1"/>
  <c r="ELP53" i="7" s="1"/>
  <c r="ELQ53" i="7" s="1"/>
  <c r="ELR53" i="7" s="1"/>
  <c r="ELS53" i="7" s="1"/>
  <c r="ELT53" i="7" s="1"/>
  <c r="ELU53" i="7" s="1"/>
  <c r="ELV53" i="7" s="1"/>
  <c r="ELW53" i="7" s="1"/>
  <c r="ELX53" i="7" s="1"/>
  <c r="ELY53" i="7" s="1"/>
  <c r="ELZ53" i="7" s="1"/>
  <c r="EMA53" i="7" s="1"/>
  <c r="EMB53" i="7" s="1"/>
  <c r="EMC53" i="7" s="1"/>
  <c r="EMD53" i="7" s="1"/>
  <c r="EME53" i="7" s="1"/>
  <c r="EMF53" i="7" s="1"/>
  <c r="EMG53" i="7" s="1"/>
  <c r="EMH53" i="7" s="1"/>
  <c r="EMI53" i="7" s="1"/>
  <c r="EMJ53" i="7" s="1"/>
  <c r="EMK53" i="7" s="1"/>
  <c r="EML53" i="7" s="1"/>
  <c r="EMM53" i="7" s="1"/>
  <c r="EMN53" i="7" s="1"/>
  <c r="EMO53" i="7" s="1"/>
  <c r="EMP53" i="7" s="1"/>
  <c r="EMQ53" i="7" s="1"/>
  <c r="EMR53" i="7" s="1"/>
  <c r="EMS53" i="7" s="1"/>
  <c r="EMT53" i="7" s="1"/>
  <c r="EMU53" i="7" s="1"/>
  <c r="EMV53" i="7" s="1"/>
  <c r="EMW53" i="7" s="1"/>
  <c r="EMX53" i="7" s="1"/>
  <c r="EMY53" i="7" s="1"/>
  <c r="EMZ53" i="7" s="1"/>
  <c r="ENA53" i="7" s="1"/>
  <c r="ENB53" i="7" s="1"/>
  <c r="ENC53" i="7" s="1"/>
  <c r="END53" i="7" s="1"/>
  <c r="ENE53" i="7" s="1"/>
  <c r="ENF53" i="7" s="1"/>
  <c r="ENG53" i="7" s="1"/>
  <c r="ENH53" i="7" s="1"/>
  <c r="ENI53" i="7" s="1"/>
  <c r="ENJ53" i="7" s="1"/>
  <c r="ENK53" i="7" s="1"/>
  <c r="ENL53" i="7" s="1"/>
  <c r="ENM53" i="7" s="1"/>
  <c r="ENN53" i="7" s="1"/>
  <c r="ENO53" i="7" s="1"/>
  <c r="ENP53" i="7" s="1"/>
  <c r="ENQ53" i="7" s="1"/>
  <c r="ENR53" i="7" s="1"/>
  <c r="ENS53" i="7" s="1"/>
  <c r="ENT53" i="7" s="1"/>
  <c r="ENU53" i="7" s="1"/>
  <c r="ENV53" i="7" s="1"/>
  <c r="ENW53" i="7" s="1"/>
  <c r="ENX53" i="7" s="1"/>
  <c r="ENY53" i="7" s="1"/>
  <c r="ENZ53" i="7" s="1"/>
  <c r="EOA53" i="7" s="1"/>
  <c r="EOB53" i="7" s="1"/>
  <c r="EOC53" i="7" s="1"/>
  <c r="EOD53" i="7" s="1"/>
  <c r="EOE53" i="7" s="1"/>
  <c r="EOF53" i="7" s="1"/>
  <c r="EOG53" i="7" s="1"/>
  <c r="EOH53" i="7" s="1"/>
  <c r="EOI53" i="7" s="1"/>
  <c r="EOJ53" i="7" s="1"/>
  <c r="EOK53" i="7" s="1"/>
  <c r="EOL53" i="7" s="1"/>
  <c r="EOM53" i="7" s="1"/>
  <c r="EON53" i="7" s="1"/>
  <c r="EOO53" i="7" s="1"/>
  <c r="EOP53" i="7" s="1"/>
  <c r="EOQ53" i="7" s="1"/>
  <c r="EOR53" i="7" s="1"/>
  <c r="EOS53" i="7" s="1"/>
  <c r="EOT53" i="7" s="1"/>
  <c r="EOU53" i="7" s="1"/>
  <c r="EOV53" i="7" s="1"/>
  <c r="EOW53" i="7" s="1"/>
  <c r="EOX53" i="7" s="1"/>
  <c r="EOY53" i="7" s="1"/>
  <c r="EOZ53" i="7" s="1"/>
  <c r="EPA53" i="7" s="1"/>
  <c r="EPB53" i="7" s="1"/>
  <c r="EPC53" i="7" s="1"/>
  <c r="EPD53" i="7" s="1"/>
  <c r="EPE53" i="7" s="1"/>
  <c r="EPF53" i="7" s="1"/>
  <c r="EPG53" i="7" s="1"/>
  <c r="EPH53" i="7" s="1"/>
  <c r="EPI53" i="7" s="1"/>
  <c r="EPJ53" i="7" s="1"/>
  <c r="EPK53" i="7" s="1"/>
  <c r="EPL53" i="7" s="1"/>
  <c r="EPM53" i="7" s="1"/>
  <c r="EPN53" i="7" s="1"/>
  <c r="EPO53" i="7" s="1"/>
  <c r="EPP53" i="7" s="1"/>
  <c r="EPQ53" i="7" s="1"/>
  <c r="EPR53" i="7" s="1"/>
  <c r="EPS53" i="7" s="1"/>
  <c r="EPT53" i="7" s="1"/>
  <c r="EPU53" i="7" s="1"/>
  <c r="EPV53" i="7" s="1"/>
  <c r="EPW53" i="7" s="1"/>
  <c r="EPX53" i="7" s="1"/>
  <c r="EPY53" i="7" s="1"/>
  <c r="EPZ53" i="7" s="1"/>
  <c r="EQA53" i="7" s="1"/>
  <c r="EQB53" i="7" s="1"/>
  <c r="EQC53" i="7" s="1"/>
  <c r="EQD53" i="7" s="1"/>
  <c r="EQE53" i="7" s="1"/>
  <c r="EQF53" i="7" s="1"/>
  <c r="EQG53" i="7" s="1"/>
  <c r="EQH53" i="7" s="1"/>
  <c r="EQI53" i="7" s="1"/>
  <c r="EQJ53" i="7" s="1"/>
  <c r="EQK53" i="7" s="1"/>
  <c r="EQL53" i="7" s="1"/>
  <c r="EQM53" i="7" s="1"/>
  <c r="EQN53" i="7" s="1"/>
  <c r="EQO53" i="7" s="1"/>
  <c r="EQP53" i="7" s="1"/>
  <c r="EQQ53" i="7" s="1"/>
  <c r="EQR53" i="7" s="1"/>
  <c r="EQS53" i="7" s="1"/>
  <c r="EQT53" i="7" s="1"/>
  <c r="EQU53" i="7" s="1"/>
  <c r="EQV53" i="7" s="1"/>
  <c r="EQW53" i="7" s="1"/>
  <c r="EQX53" i="7" s="1"/>
  <c r="EQY53" i="7" s="1"/>
  <c r="EQZ53" i="7" s="1"/>
  <c r="ERA53" i="7" s="1"/>
  <c r="ERB53" i="7" s="1"/>
  <c r="ERC53" i="7" s="1"/>
  <c r="ERD53" i="7" s="1"/>
  <c r="ERE53" i="7" s="1"/>
  <c r="ERF53" i="7" s="1"/>
  <c r="ERG53" i="7" s="1"/>
  <c r="ERH53" i="7" s="1"/>
  <c r="ERI53" i="7" s="1"/>
  <c r="ERJ53" i="7" s="1"/>
  <c r="ERK53" i="7" s="1"/>
  <c r="ERL53" i="7" s="1"/>
  <c r="ERM53" i="7" s="1"/>
  <c r="ERN53" i="7" s="1"/>
  <c r="ERO53" i="7" s="1"/>
  <c r="ERP53" i="7" s="1"/>
  <c r="ERQ53" i="7" s="1"/>
  <c r="ERR53" i="7" s="1"/>
  <c r="ERS53" i="7" s="1"/>
  <c r="ERT53" i="7" s="1"/>
  <c r="ERU53" i="7" s="1"/>
  <c r="ERV53" i="7" s="1"/>
  <c r="ERW53" i="7" s="1"/>
  <c r="ERX53" i="7" s="1"/>
  <c r="ERY53" i="7" s="1"/>
  <c r="ERZ53" i="7" s="1"/>
  <c r="ESA53" i="7" s="1"/>
  <c r="ESB53" i="7" s="1"/>
  <c r="ESC53" i="7" s="1"/>
  <c r="ESD53" i="7" s="1"/>
  <c r="ESE53" i="7" s="1"/>
  <c r="ESF53" i="7" s="1"/>
  <c r="ESG53" i="7" s="1"/>
  <c r="ESH53" i="7" s="1"/>
  <c r="ESI53" i="7" s="1"/>
  <c r="ESJ53" i="7" s="1"/>
  <c r="ESK53" i="7" s="1"/>
  <c r="ESL53" i="7" s="1"/>
  <c r="ESM53" i="7" s="1"/>
  <c r="ESN53" i="7" s="1"/>
  <c r="ESO53" i="7" s="1"/>
  <c r="ESP53" i="7" s="1"/>
  <c r="ESQ53" i="7" s="1"/>
  <c r="ESR53" i="7" s="1"/>
  <c r="ESS53" i="7" s="1"/>
  <c r="EST53" i="7" s="1"/>
  <c r="ESU53" i="7" s="1"/>
  <c r="ESV53" i="7" s="1"/>
  <c r="ESW53" i="7" s="1"/>
  <c r="ESX53" i="7" s="1"/>
  <c r="ESY53" i="7" s="1"/>
  <c r="ESZ53" i="7" s="1"/>
  <c r="ETA53" i="7" s="1"/>
  <c r="ETB53" i="7" s="1"/>
  <c r="ETC53" i="7" s="1"/>
  <c r="ETD53" i="7" s="1"/>
  <c r="ETE53" i="7" s="1"/>
  <c r="ETF53" i="7" s="1"/>
  <c r="ETG53" i="7" s="1"/>
  <c r="ETH53" i="7" s="1"/>
  <c r="ETI53" i="7" s="1"/>
  <c r="ETJ53" i="7" s="1"/>
  <c r="ETK53" i="7" s="1"/>
  <c r="ETL53" i="7" s="1"/>
  <c r="ETM53" i="7" s="1"/>
  <c r="ETN53" i="7" s="1"/>
  <c r="ETO53" i="7" s="1"/>
  <c r="ETP53" i="7" s="1"/>
  <c r="ETQ53" i="7" s="1"/>
  <c r="ETR53" i="7" s="1"/>
  <c r="ETS53" i="7" s="1"/>
  <c r="ETT53" i="7" s="1"/>
  <c r="ETU53" i="7" s="1"/>
  <c r="ETV53" i="7" s="1"/>
  <c r="ETW53" i="7" s="1"/>
  <c r="ETX53" i="7" s="1"/>
  <c r="ETY53" i="7" s="1"/>
  <c r="ETZ53" i="7" s="1"/>
  <c r="EUA53" i="7" s="1"/>
  <c r="EUB53" i="7" s="1"/>
  <c r="EUC53" i="7" s="1"/>
  <c r="EUD53" i="7" s="1"/>
  <c r="EUE53" i="7" s="1"/>
  <c r="EUF53" i="7" s="1"/>
  <c r="EUG53" i="7" s="1"/>
  <c r="EUH53" i="7" s="1"/>
  <c r="EUI53" i="7" s="1"/>
  <c r="EUJ53" i="7" s="1"/>
  <c r="EUK53" i="7" s="1"/>
  <c r="EUL53" i="7" s="1"/>
  <c r="EUM53" i="7" s="1"/>
  <c r="EUN53" i="7" s="1"/>
  <c r="EUO53" i="7" s="1"/>
  <c r="EUP53" i="7" s="1"/>
  <c r="EUQ53" i="7" s="1"/>
  <c r="EUR53" i="7" s="1"/>
  <c r="EUS53" i="7" s="1"/>
  <c r="EUT53" i="7" s="1"/>
  <c r="EUU53" i="7" s="1"/>
  <c r="EUV53" i="7" s="1"/>
  <c r="EUW53" i="7" s="1"/>
  <c r="EUX53" i="7" s="1"/>
  <c r="EUY53" i="7" s="1"/>
  <c r="EUZ53" i="7" s="1"/>
  <c r="EVA53" i="7" s="1"/>
  <c r="EVB53" i="7" s="1"/>
  <c r="EVC53" i="7" s="1"/>
  <c r="EVD53" i="7" s="1"/>
  <c r="EVE53" i="7" s="1"/>
  <c r="EVF53" i="7" s="1"/>
  <c r="EVG53" i="7" s="1"/>
  <c r="EVH53" i="7" s="1"/>
  <c r="EVI53" i="7" s="1"/>
  <c r="EVJ53" i="7" s="1"/>
  <c r="EVK53" i="7" s="1"/>
  <c r="EVL53" i="7" s="1"/>
  <c r="EVM53" i="7" s="1"/>
  <c r="EVN53" i="7" s="1"/>
  <c r="EVO53" i="7" s="1"/>
  <c r="EVP53" i="7" s="1"/>
  <c r="EVQ53" i="7" s="1"/>
  <c r="EVR53" i="7" s="1"/>
  <c r="EVS53" i="7" s="1"/>
  <c r="EVT53" i="7" s="1"/>
  <c r="EVU53" i="7" s="1"/>
  <c r="EVV53" i="7" s="1"/>
  <c r="EVW53" i="7" s="1"/>
  <c r="EVX53" i="7" s="1"/>
  <c r="EVY53" i="7" s="1"/>
  <c r="EVZ53" i="7" s="1"/>
  <c r="EWA53" i="7" s="1"/>
  <c r="EWB53" i="7" s="1"/>
  <c r="EWC53" i="7" s="1"/>
  <c r="EWD53" i="7" s="1"/>
  <c r="EWE53" i="7" s="1"/>
  <c r="EWF53" i="7" s="1"/>
  <c r="EWG53" i="7" s="1"/>
  <c r="EWH53" i="7" s="1"/>
  <c r="EWI53" i="7" s="1"/>
  <c r="EWJ53" i="7" s="1"/>
  <c r="EWK53" i="7" s="1"/>
  <c r="EWL53" i="7" s="1"/>
  <c r="EWM53" i="7" s="1"/>
  <c r="EWN53" i="7" s="1"/>
  <c r="EWO53" i="7" s="1"/>
  <c r="EWP53" i="7" s="1"/>
  <c r="EWQ53" i="7" s="1"/>
  <c r="EWR53" i="7" s="1"/>
  <c r="EWS53" i="7" s="1"/>
  <c r="EWT53" i="7" s="1"/>
  <c r="EWU53" i="7" s="1"/>
  <c r="EWV53" i="7" s="1"/>
  <c r="EWW53" i="7" s="1"/>
  <c r="EWX53" i="7" s="1"/>
  <c r="EWY53" i="7" s="1"/>
  <c r="EWZ53" i="7" s="1"/>
  <c r="EXA53" i="7" s="1"/>
  <c r="EXB53" i="7" s="1"/>
  <c r="EXC53" i="7" s="1"/>
  <c r="EXD53" i="7" s="1"/>
  <c r="EXE53" i="7" s="1"/>
  <c r="EXF53" i="7" s="1"/>
  <c r="EXG53" i="7" s="1"/>
  <c r="EXH53" i="7" s="1"/>
  <c r="EXI53" i="7" s="1"/>
  <c r="EXJ53" i="7" s="1"/>
  <c r="EXK53" i="7" s="1"/>
  <c r="EXL53" i="7" s="1"/>
  <c r="EXM53" i="7" s="1"/>
  <c r="EXN53" i="7" s="1"/>
  <c r="EXO53" i="7" s="1"/>
  <c r="EXP53" i="7" s="1"/>
  <c r="EXQ53" i="7" s="1"/>
  <c r="EXR53" i="7" s="1"/>
  <c r="EXS53" i="7" s="1"/>
  <c r="EXT53" i="7" s="1"/>
  <c r="EXU53" i="7" s="1"/>
  <c r="EXV53" i="7" s="1"/>
  <c r="EXW53" i="7" s="1"/>
  <c r="EXX53" i="7" s="1"/>
  <c r="EXY53" i="7" s="1"/>
  <c r="EXZ53" i="7" s="1"/>
  <c r="EYA53" i="7" s="1"/>
  <c r="EYB53" i="7" s="1"/>
  <c r="EYC53" i="7" s="1"/>
  <c r="EYD53" i="7" s="1"/>
  <c r="EYE53" i="7" s="1"/>
  <c r="EYF53" i="7" s="1"/>
  <c r="EYG53" i="7" s="1"/>
  <c r="EYH53" i="7" s="1"/>
  <c r="EYI53" i="7" s="1"/>
  <c r="EYJ53" i="7" s="1"/>
  <c r="EYK53" i="7" s="1"/>
  <c r="EYL53" i="7" s="1"/>
  <c r="EYM53" i="7" s="1"/>
  <c r="EYN53" i="7" s="1"/>
  <c r="EYO53" i="7" s="1"/>
  <c r="EYP53" i="7" s="1"/>
  <c r="EYQ53" i="7" s="1"/>
  <c r="EYR53" i="7" s="1"/>
  <c r="EYS53" i="7" s="1"/>
  <c r="EYT53" i="7" s="1"/>
  <c r="EYU53" i="7" s="1"/>
  <c r="EYV53" i="7" s="1"/>
  <c r="EYW53" i="7" s="1"/>
  <c r="EYX53" i="7" s="1"/>
  <c r="EYY53" i="7" s="1"/>
  <c r="EYZ53" i="7" s="1"/>
  <c r="EZA53" i="7" s="1"/>
  <c r="EZB53" i="7" s="1"/>
  <c r="EZC53" i="7" s="1"/>
  <c r="EZD53" i="7" s="1"/>
  <c r="EZE53" i="7" s="1"/>
  <c r="EZF53" i="7" s="1"/>
  <c r="EZG53" i="7" s="1"/>
  <c r="EZH53" i="7" s="1"/>
  <c r="EZI53" i="7" s="1"/>
  <c r="EZJ53" i="7" s="1"/>
  <c r="EZK53" i="7" s="1"/>
  <c r="EZL53" i="7" s="1"/>
  <c r="EZM53" i="7" s="1"/>
  <c r="EZN53" i="7" s="1"/>
  <c r="EZO53" i="7" s="1"/>
  <c r="EZP53" i="7" s="1"/>
  <c r="EZQ53" i="7" s="1"/>
  <c r="EZR53" i="7" s="1"/>
  <c r="EZS53" i="7" s="1"/>
  <c r="EZT53" i="7" s="1"/>
  <c r="EZU53" i="7" s="1"/>
  <c r="EZV53" i="7" s="1"/>
  <c r="EZW53" i="7" s="1"/>
  <c r="EZX53" i="7" s="1"/>
  <c r="EZY53" i="7" s="1"/>
  <c r="EZZ53" i="7" s="1"/>
  <c r="FAA53" i="7" s="1"/>
  <c r="FAB53" i="7" s="1"/>
  <c r="FAC53" i="7" s="1"/>
  <c r="FAD53" i="7" s="1"/>
  <c r="FAE53" i="7" s="1"/>
  <c r="FAF53" i="7" s="1"/>
  <c r="FAG53" i="7" s="1"/>
  <c r="FAH53" i="7" s="1"/>
  <c r="FAI53" i="7" s="1"/>
  <c r="FAJ53" i="7" s="1"/>
  <c r="FAK53" i="7" s="1"/>
  <c r="FAL53" i="7" s="1"/>
  <c r="FAM53" i="7" s="1"/>
  <c r="FAN53" i="7" s="1"/>
  <c r="FAO53" i="7" s="1"/>
  <c r="FAP53" i="7" s="1"/>
  <c r="FAQ53" i="7" s="1"/>
  <c r="FAR53" i="7" s="1"/>
  <c r="FAS53" i="7" s="1"/>
  <c r="FAT53" i="7" s="1"/>
  <c r="FAU53" i="7" s="1"/>
  <c r="FAV53" i="7" s="1"/>
  <c r="FAW53" i="7" s="1"/>
  <c r="FAX53" i="7" s="1"/>
  <c r="FAY53" i="7" s="1"/>
  <c r="FAZ53" i="7" s="1"/>
  <c r="FBA53" i="7" s="1"/>
  <c r="FBB53" i="7" s="1"/>
  <c r="FBC53" i="7" s="1"/>
  <c r="FBD53" i="7" s="1"/>
  <c r="FBE53" i="7" s="1"/>
  <c r="FBF53" i="7" s="1"/>
  <c r="FBG53" i="7" s="1"/>
  <c r="FBH53" i="7" s="1"/>
  <c r="FBI53" i="7" s="1"/>
  <c r="FBJ53" i="7" s="1"/>
  <c r="FBK53" i="7" s="1"/>
  <c r="FBL53" i="7" s="1"/>
  <c r="FBM53" i="7" s="1"/>
  <c r="FBN53" i="7" s="1"/>
  <c r="FBO53" i="7" s="1"/>
  <c r="FBP53" i="7" s="1"/>
  <c r="FBQ53" i="7" s="1"/>
  <c r="FBR53" i="7" s="1"/>
  <c r="FBS53" i="7" s="1"/>
  <c r="FBT53" i="7" s="1"/>
  <c r="FBU53" i="7" s="1"/>
  <c r="FBV53" i="7" s="1"/>
  <c r="FBW53" i="7" s="1"/>
  <c r="FBX53" i="7" s="1"/>
  <c r="FBY53" i="7" s="1"/>
  <c r="FBZ53" i="7" s="1"/>
  <c r="FCA53" i="7" s="1"/>
  <c r="FCB53" i="7" s="1"/>
  <c r="FCC53" i="7" s="1"/>
  <c r="FCD53" i="7" s="1"/>
  <c r="FCE53" i="7" s="1"/>
  <c r="FCF53" i="7" s="1"/>
  <c r="FCG53" i="7" s="1"/>
  <c r="FCH53" i="7" s="1"/>
  <c r="FCI53" i="7" s="1"/>
  <c r="FCJ53" i="7" s="1"/>
  <c r="FCK53" i="7" s="1"/>
  <c r="FCL53" i="7" s="1"/>
  <c r="FCM53" i="7" s="1"/>
  <c r="FCN53" i="7" s="1"/>
  <c r="FCO53" i="7" s="1"/>
  <c r="FCP53" i="7" s="1"/>
  <c r="FCQ53" i="7" s="1"/>
  <c r="FCR53" i="7" s="1"/>
  <c r="FCS53" i="7" s="1"/>
  <c r="FCT53" i="7" s="1"/>
  <c r="FCU53" i="7" s="1"/>
  <c r="FCV53" i="7" s="1"/>
  <c r="FCW53" i="7" s="1"/>
  <c r="FCX53" i="7" s="1"/>
  <c r="FCY53" i="7" s="1"/>
  <c r="FCZ53" i="7" s="1"/>
  <c r="FDA53" i="7" s="1"/>
  <c r="FDB53" i="7" s="1"/>
  <c r="FDC53" i="7" s="1"/>
  <c r="FDD53" i="7" s="1"/>
  <c r="FDE53" i="7" s="1"/>
  <c r="FDF53" i="7" s="1"/>
  <c r="FDG53" i="7" s="1"/>
  <c r="FDH53" i="7" s="1"/>
  <c r="FDI53" i="7" s="1"/>
  <c r="FDJ53" i="7" s="1"/>
  <c r="FDK53" i="7" s="1"/>
  <c r="FDL53" i="7" s="1"/>
  <c r="FDM53" i="7" s="1"/>
  <c r="FDN53" i="7" s="1"/>
  <c r="FDO53" i="7" s="1"/>
  <c r="FDP53" i="7" s="1"/>
  <c r="FDQ53" i="7" s="1"/>
  <c r="FDR53" i="7" s="1"/>
  <c r="FDS53" i="7" s="1"/>
  <c r="FDT53" i="7" s="1"/>
  <c r="FDU53" i="7" s="1"/>
  <c r="FDV53" i="7" s="1"/>
  <c r="FDW53" i="7" s="1"/>
  <c r="FDX53" i="7" s="1"/>
  <c r="FDY53" i="7" s="1"/>
  <c r="FDZ53" i="7" s="1"/>
  <c r="FEA53" i="7" s="1"/>
  <c r="FEB53" i="7" s="1"/>
  <c r="FEC53" i="7" s="1"/>
  <c r="FED53" i="7" s="1"/>
  <c r="FEE53" i="7" s="1"/>
  <c r="FEF53" i="7" s="1"/>
  <c r="FEG53" i="7" s="1"/>
  <c r="FEH53" i="7" s="1"/>
  <c r="FEI53" i="7" s="1"/>
  <c r="FEJ53" i="7" s="1"/>
  <c r="FEK53" i="7" s="1"/>
  <c r="FEL53" i="7" s="1"/>
  <c r="FEM53" i="7" s="1"/>
  <c r="FEN53" i="7" s="1"/>
  <c r="FEO53" i="7" s="1"/>
  <c r="FEP53" i="7" s="1"/>
  <c r="FEQ53" i="7" s="1"/>
  <c r="FER53" i="7" s="1"/>
  <c r="FES53" i="7" s="1"/>
  <c r="FET53" i="7" s="1"/>
  <c r="FEU53" i="7" s="1"/>
  <c r="FEV53" i="7" s="1"/>
  <c r="FEW53" i="7" s="1"/>
  <c r="FEX53" i="7" s="1"/>
  <c r="FEY53" i="7" s="1"/>
  <c r="FEZ53" i="7" s="1"/>
  <c r="FFA53" i="7" s="1"/>
  <c r="FFB53" i="7" s="1"/>
  <c r="FFC53" i="7" s="1"/>
  <c r="FFD53" i="7" s="1"/>
  <c r="FFE53" i="7" s="1"/>
  <c r="FFF53" i="7" s="1"/>
  <c r="FFG53" i="7" s="1"/>
  <c r="FFH53" i="7" s="1"/>
  <c r="FFI53" i="7" s="1"/>
  <c r="FFJ53" i="7" s="1"/>
  <c r="FFK53" i="7" s="1"/>
  <c r="FFL53" i="7" s="1"/>
  <c r="FFM53" i="7" s="1"/>
  <c r="FFN53" i="7" s="1"/>
  <c r="FFO53" i="7" s="1"/>
  <c r="FFP53" i="7" s="1"/>
  <c r="FFQ53" i="7" s="1"/>
  <c r="FFR53" i="7" s="1"/>
  <c r="FFS53" i="7" s="1"/>
  <c r="FFT53" i="7" s="1"/>
  <c r="FFU53" i="7" s="1"/>
  <c r="FFV53" i="7" s="1"/>
  <c r="FFW53" i="7" s="1"/>
  <c r="FFX53" i="7" s="1"/>
  <c r="FFY53" i="7" s="1"/>
  <c r="FFZ53" i="7" s="1"/>
  <c r="FGA53" i="7" s="1"/>
  <c r="FGB53" i="7" s="1"/>
  <c r="FGC53" i="7" s="1"/>
  <c r="FGD53" i="7" s="1"/>
  <c r="FGE53" i="7" s="1"/>
  <c r="FGF53" i="7" s="1"/>
  <c r="FGG53" i="7" s="1"/>
  <c r="FGH53" i="7" s="1"/>
  <c r="FGI53" i="7" s="1"/>
  <c r="FGJ53" i="7" s="1"/>
  <c r="FGK53" i="7" s="1"/>
  <c r="FGL53" i="7" s="1"/>
  <c r="FGM53" i="7" s="1"/>
  <c r="FGN53" i="7" s="1"/>
  <c r="FGO53" i="7" s="1"/>
  <c r="FGP53" i="7" s="1"/>
  <c r="FGQ53" i="7" s="1"/>
  <c r="FGR53" i="7" s="1"/>
  <c r="FGS53" i="7" s="1"/>
  <c r="FGT53" i="7" s="1"/>
  <c r="FGU53" i="7" s="1"/>
  <c r="FGV53" i="7" s="1"/>
  <c r="FGW53" i="7" s="1"/>
  <c r="FGX53" i="7" s="1"/>
  <c r="FGY53" i="7" s="1"/>
  <c r="FGZ53" i="7" s="1"/>
  <c r="FHA53" i="7" s="1"/>
  <c r="FHB53" i="7" s="1"/>
  <c r="FHC53" i="7" s="1"/>
  <c r="FHD53" i="7" s="1"/>
  <c r="FHE53" i="7" s="1"/>
  <c r="FHF53" i="7" s="1"/>
  <c r="FHG53" i="7" s="1"/>
  <c r="FHH53" i="7" s="1"/>
  <c r="FHI53" i="7" s="1"/>
  <c r="FHJ53" i="7" s="1"/>
  <c r="FHK53" i="7" s="1"/>
  <c r="FHL53" i="7" s="1"/>
  <c r="FHM53" i="7" s="1"/>
  <c r="FHN53" i="7" s="1"/>
  <c r="FHO53" i="7" s="1"/>
  <c r="FHP53" i="7" s="1"/>
  <c r="FHQ53" i="7" s="1"/>
  <c r="FHR53" i="7" s="1"/>
  <c r="FHS53" i="7" s="1"/>
  <c r="FHT53" i="7" s="1"/>
  <c r="FHU53" i="7" s="1"/>
  <c r="FHV53" i="7" s="1"/>
  <c r="FHW53" i="7" s="1"/>
  <c r="FHX53" i="7" s="1"/>
  <c r="FHY53" i="7" s="1"/>
  <c r="FHZ53" i="7" s="1"/>
  <c r="FIA53" i="7" s="1"/>
  <c r="FIB53" i="7" s="1"/>
  <c r="FIC53" i="7" s="1"/>
  <c r="FID53" i="7" s="1"/>
  <c r="FIE53" i="7" s="1"/>
  <c r="FIF53" i="7" s="1"/>
  <c r="FIG53" i="7" s="1"/>
  <c r="FIH53" i="7" s="1"/>
  <c r="FII53" i="7" s="1"/>
  <c r="FIJ53" i="7" s="1"/>
  <c r="FIK53" i="7" s="1"/>
  <c r="FIL53" i="7" s="1"/>
  <c r="FIM53" i="7" s="1"/>
  <c r="FIN53" i="7" s="1"/>
  <c r="FIO53" i="7" s="1"/>
  <c r="FIP53" i="7" s="1"/>
  <c r="FIQ53" i="7" s="1"/>
  <c r="FIR53" i="7" s="1"/>
  <c r="FIS53" i="7" s="1"/>
  <c r="FIT53" i="7" s="1"/>
  <c r="FIU53" i="7" s="1"/>
  <c r="FIV53" i="7" s="1"/>
  <c r="FIW53" i="7" s="1"/>
  <c r="FIX53" i="7" s="1"/>
  <c r="FIY53" i="7" s="1"/>
  <c r="FIZ53" i="7" s="1"/>
  <c r="FJA53" i="7" s="1"/>
  <c r="FJB53" i="7" s="1"/>
  <c r="FJC53" i="7" s="1"/>
  <c r="FJD53" i="7" s="1"/>
  <c r="FJE53" i="7" s="1"/>
  <c r="FJF53" i="7" s="1"/>
  <c r="FJG53" i="7" s="1"/>
  <c r="FJH53" i="7" s="1"/>
  <c r="FJI53" i="7" s="1"/>
  <c r="FJJ53" i="7" s="1"/>
  <c r="FJK53" i="7" s="1"/>
  <c r="FJL53" i="7" s="1"/>
  <c r="FJM53" i="7" s="1"/>
  <c r="FJN53" i="7" s="1"/>
  <c r="FJO53" i="7" s="1"/>
  <c r="FJP53" i="7" s="1"/>
  <c r="FJQ53" i="7" s="1"/>
  <c r="FJR53" i="7" s="1"/>
  <c r="FJS53" i="7" s="1"/>
  <c r="FJT53" i="7" s="1"/>
  <c r="FJU53" i="7" s="1"/>
  <c r="FJV53" i="7" s="1"/>
  <c r="FJW53" i="7" s="1"/>
  <c r="FJX53" i="7" s="1"/>
  <c r="FJY53" i="7" s="1"/>
  <c r="FJZ53" i="7" s="1"/>
  <c r="FKA53" i="7" s="1"/>
  <c r="FKB53" i="7" s="1"/>
  <c r="FKC53" i="7" s="1"/>
  <c r="FKD53" i="7" s="1"/>
  <c r="FKE53" i="7" s="1"/>
  <c r="FKF53" i="7" s="1"/>
  <c r="FKG53" i="7" s="1"/>
  <c r="FKH53" i="7" s="1"/>
  <c r="FKI53" i="7" s="1"/>
  <c r="FKJ53" i="7" s="1"/>
  <c r="FKK53" i="7" s="1"/>
  <c r="FKL53" i="7" s="1"/>
  <c r="FKM53" i="7" s="1"/>
  <c r="FKN53" i="7" s="1"/>
  <c r="FKO53" i="7" s="1"/>
  <c r="FKP53" i="7" s="1"/>
  <c r="FKQ53" i="7" s="1"/>
  <c r="FKR53" i="7" s="1"/>
  <c r="FKS53" i="7" s="1"/>
  <c r="FKT53" i="7" s="1"/>
  <c r="FKU53" i="7" s="1"/>
  <c r="FKV53" i="7" s="1"/>
  <c r="FKW53" i="7" s="1"/>
  <c r="FKX53" i="7" s="1"/>
  <c r="FKY53" i="7" s="1"/>
  <c r="FKZ53" i="7" s="1"/>
  <c r="FLA53" i="7" s="1"/>
  <c r="FLB53" i="7" s="1"/>
  <c r="FLC53" i="7" s="1"/>
  <c r="FLD53" i="7" s="1"/>
  <c r="FLE53" i="7" s="1"/>
  <c r="FLF53" i="7" s="1"/>
  <c r="FLG53" i="7" s="1"/>
  <c r="FLH53" i="7" s="1"/>
  <c r="FLI53" i="7" s="1"/>
  <c r="FLJ53" i="7" s="1"/>
  <c r="FLK53" i="7" s="1"/>
  <c r="FLL53" i="7" s="1"/>
  <c r="FLM53" i="7" s="1"/>
  <c r="FLN53" i="7" s="1"/>
  <c r="FLO53" i="7" s="1"/>
  <c r="FLP53" i="7" s="1"/>
  <c r="FLQ53" i="7" s="1"/>
  <c r="FLR53" i="7" s="1"/>
  <c r="FLS53" i="7" s="1"/>
  <c r="FLT53" i="7" s="1"/>
  <c r="FLU53" i="7" s="1"/>
  <c r="FLV53" i="7" s="1"/>
  <c r="FLW53" i="7" s="1"/>
  <c r="FLX53" i="7" s="1"/>
  <c r="FLY53" i="7" s="1"/>
  <c r="FLZ53" i="7" s="1"/>
  <c r="FMA53" i="7" s="1"/>
  <c r="FMB53" i="7" s="1"/>
  <c r="FMC53" i="7" s="1"/>
  <c r="FMD53" i="7" s="1"/>
  <c r="FME53" i="7" s="1"/>
  <c r="FMF53" i="7" s="1"/>
  <c r="FMG53" i="7" s="1"/>
  <c r="FMH53" i="7" s="1"/>
  <c r="FMI53" i="7" s="1"/>
  <c r="FMJ53" i="7" s="1"/>
  <c r="FMK53" i="7" s="1"/>
  <c r="FML53" i="7" s="1"/>
  <c r="FMM53" i="7" s="1"/>
  <c r="FMN53" i="7" s="1"/>
  <c r="FMO53" i="7" s="1"/>
  <c r="FMP53" i="7" s="1"/>
  <c r="FMQ53" i="7" s="1"/>
  <c r="FMR53" i="7" s="1"/>
  <c r="FMS53" i="7" s="1"/>
  <c r="FMT53" i="7" s="1"/>
  <c r="FMU53" i="7" s="1"/>
  <c r="FMV53" i="7" s="1"/>
  <c r="FMW53" i="7" s="1"/>
  <c r="FMX53" i="7" s="1"/>
  <c r="FMY53" i="7" s="1"/>
  <c r="FMZ53" i="7" s="1"/>
  <c r="FNA53" i="7" s="1"/>
  <c r="FNB53" i="7" s="1"/>
  <c r="FNC53" i="7" s="1"/>
  <c r="FND53" i="7" s="1"/>
  <c r="FNE53" i="7" s="1"/>
  <c r="FNF53" i="7" s="1"/>
  <c r="FNG53" i="7" s="1"/>
  <c r="FNH53" i="7" s="1"/>
  <c r="FNI53" i="7" s="1"/>
  <c r="FNJ53" i="7" s="1"/>
  <c r="FNK53" i="7" s="1"/>
  <c r="FNL53" i="7" s="1"/>
  <c r="FNM53" i="7" s="1"/>
  <c r="FNN53" i="7" s="1"/>
  <c r="FNO53" i="7" s="1"/>
  <c r="FNP53" i="7" s="1"/>
  <c r="FNQ53" i="7" s="1"/>
  <c r="FNR53" i="7" s="1"/>
  <c r="FNS53" i="7" s="1"/>
  <c r="FNT53" i="7" s="1"/>
  <c r="FNU53" i="7" s="1"/>
  <c r="FNV53" i="7" s="1"/>
  <c r="FNW53" i="7" s="1"/>
  <c r="FNX53" i="7" s="1"/>
  <c r="FNY53" i="7" s="1"/>
  <c r="FNZ53" i="7" s="1"/>
  <c r="FOA53" i="7" s="1"/>
  <c r="FOB53" i="7" s="1"/>
  <c r="FOC53" i="7" s="1"/>
  <c r="FOD53" i="7" s="1"/>
  <c r="FOE53" i="7" s="1"/>
  <c r="FOF53" i="7" s="1"/>
  <c r="FOG53" i="7" s="1"/>
  <c r="FOH53" i="7" s="1"/>
  <c r="FOI53" i="7" s="1"/>
  <c r="FOJ53" i="7" s="1"/>
  <c r="FOK53" i="7" s="1"/>
  <c r="FOL53" i="7" s="1"/>
  <c r="FOM53" i="7" s="1"/>
  <c r="FON53" i="7" s="1"/>
  <c r="FOO53" i="7" s="1"/>
  <c r="FOP53" i="7" s="1"/>
  <c r="FOQ53" i="7" s="1"/>
  <c r="FOR53" i="7" s="1"/>
  <c r="FOS53" i="7" s="1"/>
  <c r="FOT53" i="7" s="1"/>
  <c r="FOU53" i="7" s="1"/>
  <c r="FOV53" i="7" s="1"/>
  <c r="FOW53" i="7" s="1"/>
  <c r="FOX53" i="7" s="1"/>
  <c r="FOY53" i="7" s="1"/>
  <c r="FOZ53" i="7" s="1"/>
  <c r="FPA53" i="7" s="1"/>
  <c r="FPB53" i="7" s="1"/>
  <c r="FPC53" i="7" s="1"/>
  <c r="FPD53" i="7" s="1"/>
  <c r="FPE53" i="7" s="1"/>
  <c r="FPF53" i="7" s="1"/>
  <c r="FPG53" i="7" s="1"/>
  <c r="FPH53" i="7" s="1"/>
  <c r="FPI53" i="7" s="1"/>
  <c r="FPJ53" i="7" s="1"/>
  <c r="FPK53" i="7" s="1"/>
  <c r="FPL53" i="7" s="1"/>
  <c r="FPM53" i="7" s="1"/>
  <c r="FPN53" i="7" s="1"/>
  <c r="FPO53" i="7" s="1"/>
  <c r="FPP53" i="7" s="1"/>
  <c r="FPQ53" i="7" s="1"/>
  <c r="FPR53" i="7" s="1"/>
  <c r="FPS53" i="7" s="1"/>
  <c r="FPT53" i="7" s="1"/>
  <c r="FPU53" i="7" s="1"/>
  <c r="FPV53" i="7" s="1"/>
  <c r="FPW53" i="7" s="1"/>
  <c r="FPX53" i="7" s="1"/>
  <c r="FPY53" i="7" s="1"/>
  <c r="FPZ53" i="7" s="1"/>
  <c r="FQA53" i="7" s="1"/>
  <c r="FQB53" i="7" s="1"/>
  <c r="FQC53" i="7" s="1"/>
  <c r="FQD53" i="7" s="1"/>
  <c r="FQE53" i="7" s="1"/>
  <c r="FQF53" i="7" s="1"/>
  <c r="FQG53" i="7" s="1"/>
  <c r="FQH53" i="7" s="1"/>
  <c r="FQI53" i="7" s="1"/>
  <c r="FQJ53" i="7" s="1"/>
  <c r="FQK53" i="7" s="1"/>
  <c r="FQL53" i="7" s="1"/>
  <c r="FQM53" i="7" s="1"/>
  <c r="FQN53" i="7" s="1"/>
  <c r="FQO53" i="7" s="1"/>
  <c r="FQP53" i="7" s="1"/>
  <c r="FQQ53" i="7" s="1"/>
  <c r="FQR53" i="7" s="1"/>
  <c r="FQS53" i="7" s="1"/>
  <c r="FQT53" i="7" s="1"/>
  <c r="FQU53" i="7" s="1"/>
  <c r="FQV53" i="7" s="1"/>
  <c r="FQW53" i="7" s="1"/>
  <c r="FQX53" i="7" s="1"/>
  <c r="FQY53" i="7" s="1"/>
  <c r="FQZ53" i="7" s="1"/>
  <c r="FRA53" i="7" s="1"/>
  <c r="FRB53" i="7" s="1"/>
  <c r="FRC53" i="7" s="1"/>
  <c r="FRD53" i="7" s="1"/>
  <c r="FRE53" i="7" s="1"/>
  <c r="FRF53" i="7" s="1"/>
  <c r="FRG53" i="7" s="1"/>
  <c r="FRH53" i="7" s="1"/>
  <c r="FRI53" i="7" s="1"/>
  <c r="FRJ53" i="7" s="1"/>
  <c r="FRK53" i="7" s="1"/>
  <c r="FRL53" i="7" s="1"/>
  <c r="FRM53" i="7" s="1"/>
  <c r="FRN53" i="7" s="1"/>
  <c r="FRO53" i="7" s="1"/>
  <c r="FRP53" i="7" s="1"/>
  <c r="FRQ53" i="7" s="1"/>
  <c r="FRR53" i="7" s="1"/>
  <c r="FRS53" i="7" s="1"/>
  <c r="FRT53" i="7" s="1"/>
  <c r="FRU53" i="7" s="1"/>
  <c r="FRV53" i="7" s="1"/>
  <c r="FRW53" i="7" s="1"/>
  <c r="FRX53" i="7" s="1"/>
  <c r="FRY53" i="7" s="1"/>
  <c r="FRZ53" i="7" s="1"/>
  <c r="FSA53" i="7" s="1"/>
  <c r="FSB53" i="7" s="1"/>
  <c r="FSC53" i="7" s="1"/>
  <c r="FSD53" i="7" s="1"/>
  <c r="FSE53" i="7" s="1"/>
  <c r="FSF53" i="7" s="1"/>
  <c r="FSG53" i="7" s="1"/>
  <c r="FSH53" i="7" s="1"/>
  <c r="FSI53" i="7" s="1"/>
  <c r="FSJ53" i="7" s="1"/>
  <c r="FSK53" i="7" s="1"/>
  <c r="FSL53" i="7" s="1"/>
  <c r="FSM53" i="7" s="1"/>
  <c r="FSN53" i="7" s="1"/>
  <c r="FSO53" i="7" s="1"/>
  <c r="FSP53" i="7" s="1"/>
  <c r="FSQ53" i="7" s="1"/>
  <c r="FSR53" i="7" s="1"/>
  <c r="FSS53" i="7" s="1"/>
  <c r="FST53" i="7" s="1"/>
  <c r="FSU53" i="7" s="1"/>
  <c r="FSV53" i="7" s="1"/>
  <c r="FSW53" i="7" s="1"/>
  <c r="FSX53" i="7" s="1"/>
  <c r="FSY53" i="7" s="1"/>
  <c r="FSZ53" i="7" s="1"/>
  <c r="FTA53" i="7" s="1"/>
  <c r="FTB53" i="7" s="1"/>
  <c r="FTC53" i="7" s="1"/>
  <c r="FTD53" i="7" s="1"/>
  <c r="FTE53" i="7" s="1"/>
  <c r="FTF53" i="7" s="1"/>
  <c r="FTG53" i="7" s="1"/>
  <c r="FTH53" i="7" s="1"/>
  <c r="FTI53" i="7" s="1"/>
  <c r="FTJ53" i="7" s="1"/>
  <c r="FTK53" i="7" s="1"/>
  <c r="FTL53" i="7" s="1"/>
  <c r="FTM53" i="7" s="1"/>
  <c r="FTN53" i="7" s="1"/>
  <c r="FTO53" i="7" s="1"/>
  <c r="FTP53" i="7" s="1"/>
  <c r="FTQ53" i="7" s="1"/>
  <c r="FTR53" i="7" s="1"/>
  <c r="FTS53" i="7" s="1"/>
  <c r="FTT53" i="7" s="1"/>
  <c r="FTU53" i="7" s="1"/>
  <c r="FTV53" i="7" s="1"/>
  <c r="FTW53" i="7" s="1"/>
  <c r="FTX53" i="7" s="1"/>
  <c r="FTY53" i="7" s="1"/>
  <c r="FTZ53" i="7" s="1"/>
  <c r="FUA53" i="7" s="1"/>
  <c r="FUB53" i="7" s="1"/>
  <c r="FUC53" i="7" s="1"/>
  <c r="FUD53" i="7" s="1"/>
  <c r="FUE53" i="7" s="1"/>
  <c r="FUF53" i="7" s="1"/>
  <c r="FUG53" i="7" s="1"/>
  <c r="FUH53" i="7" s="1"/>
  <c r="FUI53" i="7" s="1"/>
  <c r="FUJ53" i="7" s="1"/>
  <c r="FUK53" i="7" s="1"/>
  <c r="FUL53" i="7" s="1"/>
  <c r="FUM53" i="7" s="1"/>
  <c r="FUN53" i="7" s="1"/>
  <c r="FUO53" i="7" s="1"/>
  <c r="FUP53" i="7" s="1"/>
  <c r="FUQ53" i="7" s="1"/>
  <c r="FUR53" i="7" s="1"/>
  <c r="FUS53" i="7" s="1"/>
  <c r="FUT53" i="7" s="1"/>
  <c r="FUU53" i="7" s="1"/>
  <c r="FUV53" i="7" s="1"/>
  <c r="FUW53" i="7" s="1"/>
  <c r="FUX53" i="7" s="1"/>
  <c r="FUY53" i="7" s="1"/>
  <c r="FUZ53" i="7" s="1"/>
  <c r="FVA53" i="7" s="1"/>
  <c r="FVB53" i="7" s="1"/>
  <c r="FVC53" i="7" s="1"/>
  <c r="FVD53" i="7" s="1"/>
  <c r="FVE53" i="7" s="1"/>
  <c r="FVF53" i="7" s="1"/>
  <c r="FVG53" i="7" s="1"/>
  <c r="FVH53" i="7" s="1"/>
  <c r="FVI53" i="7" s="1"/>
  <c r="FVJ53" i="7" s="1"/>
  <c r="FVK53" i="7" s="1"/>
  <c r="FVL53" i="7" s="1"/>
  <c r="FVM53" i="7" s="1"/>
  <c r="FVN53" i="7" s="1"/>
  <c r="FVO53" i="7" s="1"/>
  <c r="FVP53" i="7" s="1"/>
  <c r="FVQ53" i="7" s="1"/>
  <c r="FVR53" i="7" s="1"/>
  <c r="FVS53" i="7" s="1"/>
  <c r="FVT53" i="7" s="1"/>
  <c r="FVU53" i="7" s="1"/>
  <c r="FVV53" i="7" s="1"/>
  <c r="FVW53" i="7" s="1"/>
  <c r="FVX53" i="7" s="1"/>
  <c r="FVY53" i="7" s="1"/>
  <c r="FVZ53" i="7" s="1"/>
  <c r="FWA53" i="7" s="1"/>
  <c r="FWB53" i="7" s="1"/>
  <c r="FWC53" i="7" s="1"/>
  <c r="FWD53" i="7" s="1"/>
  <c r="FWE53" i="7" s="1"/>
  <c r="FWF53" i="7" s="1"/>
  <c r="FWG53" i="7" s="1"/>
  <c r="FWH53" i="7" s="1"/>
  <c r="FWI53" i="7" s="1"/>
  <c r="FWJ53" i="7" s="1"/>
  <c r="FWK53" i="7" s="1"/>
  <c r="FWL53" i="7" s="1"/>
  <c r="FWM53" i="7" s="1"/>
  <c r="FWN53" i="7" s="1"/>
  <c r="FWO53" i="7" s="1"/>
  <c r="FWP53" i="7" s="1"/>
  <c r="FWQ53" i="7" s="1"/>
  <c r="FWR53" i="7" s="1"/>
  <c r="FWS53" i="7" s="1"/>
  <c r="FWT53" i="7" s="1"/>
  <c r="FWU53" i="7" s="1"/>
  <c r="FWV53" i="7" s="1"/>
  <c r="FWW53" i="7" s="1"/>
  <c r="FWX53" i="7" s="1"/>
  <c r="FWY53" i="7" s="1"/>
  <c r="FWZ53" i="7" s="1"/>
  <c r="FXA53" i="7" s="1"/>
  <c r="FXB53" i="7" s="1"/>
  <c r="FXC53" i="7" s="1"/>
  <c r="FXD53" i="7" s="1"/>
  <c r="FXE53" i="7" s="1"/>
  <c r="FXF53" i="7" s="1"/>
  <c r="FXG53" i="7" s="1"/>
  <c r="FXH53" i="7" s="1"/>
  <c r="FXI53" i="7" s="1"/>
  <c r="FXJ53" i="7" s="1"/>
  <c r="FXK53" i="7" s="1"/>
  <c r="FXL53" i="7" s="1"/>
  <c r="FXM53" i="7" s="1"/>
  <c r="FXN53" i="7" s="1"/>
  <c r="FXO53" i="7" s="1"/>
  <c r="FXP53" i="7" s="1"/>
  <c r="FXQ53" i="7" s="1"/>
  <c r="FXR53" i="7" s="1"/>
  <c r="FXS53" i="7" s="1"/>
  <c r="FXT53" i="7" s="1"/>
  <c r="FXU53" i="7" s="1"/>
  <c r="FXV53" i="7" s="1"/>
  <c r="FXW53" i="7" s="1"/>
  <c r="FXX53" i="7" s="1"/>
  <c r="FXY53" i="7" s="1"/>
  <c r="FXZ53" i="7" s="1"/>
  <c r="FYA53" i="7" s="1"/>
  <c r="FYB53" i="7" s="1"/>
  <c r="FYC53" i="7" s="1"/>
  <c r="FYD53" i="7" s="1"/>
  <c r="FYE53" i="7" s="1"/>
  <c r="FYF53" i="7" s="1"/>
  <c r="FYG53" i="7" s="1"/>
  <c r="FYH53" i="7" s="1"/>
  <c r="FYI53" i="7" s="1"/>
  <c r="FYJ53" i="7" s="1"/>
  <c r="FYK53" i="7" s="1"/>
  <c r="FYL53" i="7" s="1"/>
  <c r="FYM53" i="7" s="1"/>
  <c r="FYN53" i="7" s="1"/>
  <c r="FYO53" i="7" s="1"/>
  <c r="FYP53" i="7" s="1"/>
  <c r="FYQ53" i="7" s="1"/>
  <c r="FYR53" i="7" s="1"/>
  <c r="FYS53" i="7" s="1"/>
  <c r="FYT53" i="7" s="1"/>
  <c r="FYU53" i="7" s="1"/>
  <c r="FYV53" i="7" s="1"/>
  <c r="FYW53" i="7" s="1"/>
  <c r="FYX53" i="7" s="1"/>
  <c r="FYY53" i="7" s="1"/>
  <c r="FYZ53" i="7" s="1"/>
  <c r="FZA53" i="7" s="1"/>
  <c r="FZB53" i="7" s="1"/>
  <c r="FZC53" i="7" s="1"/>
  <c r="FZD53" i="7" s="1"/>
  <c r="FZE53" i="7" s="1"/>
  <c r="FZF53" i="7" s="1"/>
  <c r="FZG53" i="7" s="1"/>
  <c r="FZH53" i="7" s="1"/>
  <c r="FZI53" i="7" s="1"/>
  <c r="FZJ53" i="7" s="1"/>
  <c r="FZK53" i="7" s="1"/>
  <c r="FZL53" i="7" s="1"/>
  <c r="FZM53" i="7" s="1"/>
  <c r="FZN53" i="7" s="1"/>
  <c r="FZO53" i="7" s="1"/>
  <c r="FZP53" i="7" s="1"/>
  <c r="FZQ53" i="7" s="1"/>
  <c r="FZR53" i="7" s="1"/>
  <c r="FZS53" i="7" s="1"/>
  <c r="FZT53" i="7" s="1"/>
  <c r="FZU53" i="7" s="1"/>
  <c r="FZV53" i="7" s="1"/>
  <c r="FZW53" i="7" s="1"/>
  <c r="FZX53" i="7" s="1"/>
  <c r="FZY53" i="7" s="1"/>
  <c r="FZZ53" i="7" s="1"/>
  <c r="GAA53" i="7" s="1"/>
  <c r="GAB53" i="7" s="1"/>
  <c r="GAC53" i="7" s="1"/>
  <c r="GAD53" i="7" s="1"/>
  <c r="GAE53" i="7" s="1"/>
  <c r="GAF53" i="7" s="1"/>
  <c r="GAG53" i="7" s="1"/>
  <c r="GAH53" i="7" s="1"/>
  <c r="GAI53" i="7" s="1"/>
  <c r="GAJ53" i="7" s="1"/>
  <c r="GAK53" i="7" s="1"/>
  <c r="GAL53" i="7" s="1"/>
  <c r="GAM53" i="7" s="1"/>
  <c r="GAN53" i="7" s="1"/>
  <c r="GAO53" i="7" s="1"/>
  <c r="GAP53" i="7" s="1"/>
  <c r="GAQ53" i="7" s="1"/>
  <c r="GAR53" i="7" s="1"/>
  <c r="GAS53" i="7" s="1"/>
  <c r="GAT53" i="7" s="1"/>
  <c r="GAU53" i="7" s="1"/>
  <c r="GAV53" i="7" s="1"/>
  <c r="GAW53" i="7" s="1"/>
  <c r="GAX53" i="7" s="1"/>
  <c r="GAY53" i="7" s="1"/>
  <c r="GAZ53" i="7" s="1"/>
  <c r="GBA53" i="7" s="1"/>
  <c r="GBB53" i="7" s="1"/>
  <c r="GBC53" i="7" s="1"/>
  <c r="GBD53" i="7" s="1"/>
  <c r="GBE53" i="7" s="1"/>
  <c r="GBF53" i="7" s="1"/>
  <c r="GBG53" i="7" s="1"/>
  <c r="GBH53" i="7" s="1"/>
  <c r="GBI53" i="7" s="1"/>
  <c r="GBJ53" i="7" s="1"/>
  <c r="GBK53" i="7" s="1"/>
  <c r="GBL53" i="7" s="1"/>
  <c r="GBM53" i="7" s="1"/>
  <c r="GBN53" i="7" s="1"/>
  <c r="GBO53" i="7" s="1"/>
  <c r="GBP53" i="7" s="1"/>
  <c r="GBQ53" i="7" s="1"/>
  <c r="GBR53" i="7" s="1"/>
  <c r="GBS53" i="7" s="1"/>
  <c r="GBT53" i="7" s="1"/>
  <c r="GBU53" i="7" s="1"/>
  <c r="GBV53" i="7" s="1"/>
  <c r="GBW53" i="7" s="1"/>
  <c r="GBX53" i="7" s="1"/>
  <c r="GBY53" i="7" s="1"/>
  <c r="GBZ53" i="7" s="1"/>
  <c r="GCA53" i="7" s="1"/>
  <c r="GCB53" i="7" s="1"/>
  <c r="GCC53" i="7" s="1"/>
  <c r="GCD53" i="7" s="1"/>
  <c r="GCE53" i="7" s="1"/>
  <c r="GCF53" i="7" s="1"/>
  <c r="GCG53" i="7" s="1"/>
  <c r="GCH53" i="7" s="1"/>
  <c r="GCI53" i="7" s="1"/>
  <c r="GCJ53" i="7" s="1"/>
  <c r="GCK53" i="7" s="1"/>
  <c r="GCL53" i="7" s="1"/>
  <c r="GCM53" i="7" s="1"/>
  <c r="GCN53" i="7" s="1"/>
  <c r="GCO53" i="7" s="1"/>
  <c r="GCP53" i="7" s="1"/>
  <c r="GCQ53" i="7" s="1"/>
  <c r="GCR53" i="7" s="1"/>
  <c r="GCS53" i="7" s="1"/>
  <c r="GCT53" i="7" s="1"/>
  <c r="GCU53" i="7" s="1"/>
  <c r="GCV53" i="7" s="1"/>
  <c r="GCW53" i="7" s="1"/>
  <c r="GCX53" i="7" s="1"/>
  <c r="GCY53" i="7" s="1"/>
  <c r="GCZ53" i="7" s="1"/>
  <c r="GDA53" i="7" s="1"/>
  <c r="GDB53" i="7" s="1"/>
  <c r="GDC53" i="7" s="1"/>
  <c r="GDD53" i="7" s="1"/>
  <c r="GDE53" i="7" s="1"/>
  <c r="GDF53" i="7" s="1"/>
  <c r="GDG53" i="7" s="1"/>
  <c r="GDH53" i="7" s="1"/>
  <c r="GDI53" i="7" s="1"/>
  <c r="GDJ53" i="7" s="1"/>
  <c r="GDK53" i="7" s="1"/>
  <c r="GDL53" i="7" s="1"/>
  <c r="GDM53" i="7" s="1"/>
  <c r="GDN53" i="7" s="1"/>
  <c r="GDO53" i="7" s="1"/>
  <c r="GDP53" i="7" s="1"/>
  <c r="GDQ53" i="7" s="1"/>
  <c r="GDR53" i="7" s="1"/>
  <c r="GDS53" i="7" s="1"/>
  <c r="GDT53" i="7" s="1"/>
  <c r="GDU53" i="7" s="1"/>
  <c r="GDV53" i="7" s="1"/>
  <c r="GDW53" i="7" s="1"/>
  <c r="GDX53" i="7" s="1"/>
  <c r="GDY53" i="7" s="1"/>
  <c r="GDZ53" i="7" s="1"/>
  <c r="GEA53" i="7" s="1"/>
  <c r="GEB53" i="7" s="1"/>
  <c r="GEC53" i="7" s="1"/>
  <c r="GED53" i="7" s="1"/>
  <c r="GEE53" i="7" s="1"/>
  <c r="GEF53" i="7" s="1"/>
  <c r="GEG53" i="7" s="1"/>
  <c r="GEH53" i="7" s="1"/>
  <c r="GEI53" i="7" s="1"/>
  <c r="GEJ53" i="7" s="1"/>
  <c r="GEK53" i="7" s="1"/>
  <c r="GEL53" i="7" s="1"/>
  <c r="GEM53" i="7" s="1"/>
  <c r="GEN53" i="7" s="1"/>
  <c r="GEO53" i="7" s="1"/>
  <c r="GEP53" i="7" s="1"/>
  <c r="GEQ53" i="7" s="1"/>
  <c r="GER53" i="7" s="1"/>
  <c r="GES53" i="7" s="1"/>
  <c r="GET53" i="7" s="1"/>
  <c r="GEU53" i="7" s="1"/>
  <c r="GEV53" i="7" s="1"/>
  <c r="GEW53" i="7" s="1"/>
  <c r="GEX53" i="7" s="1"/>
  <c r="GEY53" i="7" s="1"/>
  <c r="GEZ53" i="7" s="1"/>
  <c r="GFA53" i="7" s="1"/>
  <c r="GFB53" i="7" s="1"/>
  <c r="GFC53" i="7" s="1"/>
  <c r="GFD53" i="7" s="1"/>
  <c r="GFE53" i="7" s="1"/>
  <c r="GFF53" i="7" s="1"/>
  <c r="GFG53" i="7" s="1"/>
  <c r="GFH53" i="7" s="1"/>
  <c r="GFI53" i="7" s="1"/>
  <c r="GFJ53" i="7" s="1"/>
  <c r="GFK53" i="7" s="1"/>
  <c r="GFL53" i="7" s="1"/>
  <c r="GFM53" i="7" s="1"/>
  <c r="GFN53" i="7" s="1"/>
  <c r="GFO53" i="7" s="1"/>
  <c r="GFP53" i="7" s="1"/>
  <c r="GFQ53" i="7" s="1"/>
  <c r="GFR53" i="7" s="1"/>
  <c r="GFS53" i="7" s="1"/>
  <c r="GFT53" i="7" s="1"/>
  <c r="GFU53" i="7" s="1"/>
  <c r="GFV53" i="7" s="1"/>
  <c r="GFW53" i="7" s="1"/>
  <c r="GFX53" i="7" s="1"/>
  <c r="GFY53" i="7" s="1"/>
  <c r="GFZ53" i="7" s="1"/>
  <c r="GGA53" i="7" s="1"/>
  <c r="GGB53" i="7" s="1"/>
  <c r="GGC53" i="7" s="1"/>
  <c r="GGD53" i="7" s="1"/>
  <c r="GGE53" i="7" s="1"/>
  <c r="GGF53" i="7" s="1"/>
  <c r="GGG53" i="7" s="1"/>
  <c r="GGH53" i="7" s="1"/>
  <c r="GGI53" i="7" s="1"/>
  <c r="GGJ53" i="7" s="1"/>
  <c r="GGK53" i="7" s="1"/>
  <c r="GGL53" i="7" s="1"/>
  <c r="GGM53" i="7" s="1"/>
  <c r="GGN53" i="7" s="1"/>
  <c r="GGO53" i="7" s="1"/>
  <c r="GGP53" i="7" s="1"/>
  <c r="GGQ53" i="7" s="1"/>
  <c r="GGR53" i="7" s="1"/>
  <c r="GGS53" i="7" s="1"/>
  <c r="GGT53" i="7" s="1"/>
  <c r="GGU53" i="7" s="1"/>
  <c r="GGV53" i="7" s="1"/>
  <c r="GGW53" i="7" s="1"/>
  <c r="GGX53" i="7" s="1"/>
  <c r="GGY53" i="7" s="1"/>
  <c r="GGZ53" i="7" s="1"/>
  <c r="GHA53" i="7" s="1"/>
  <c r="GHB53" i="7" s="1"/>
  <c r="GHC53" i="7" s="1"/>
  <c r="GHD53" i="7" s="1"/>
  <c r="GHE53" i="7" s="1"/>
  <c r="GHF53" i="7" s="1"/>
  <c r="GHG53" i="7" s="1"/>
  <c r="GHH53" i="7" s="1"/>
  <c r="GHI53" i="7" s="1"/>
  <c r="GHJ53" i="7" s="1"/>
  <c r="GHK53" i="7" s="1"/>
  <c r="GHL53" i="7" s="1"/>
  <c r="GHM53" i="7" s="1"/>
  <c r="GHN53" i="7" s="1"/>
  <c r="GHO53" i="7" s="1"/>
  <c r="GHP53" i="7" s="1"/>
  <c r="GHQ53" i="7" s="1"/>
  <c r="GHR53" i="7" s="1"/>
  <c r="GHS53" i="7" s="1"/>
  <c r="GHT53" i="7" s="1"/>
  <c r="GHU53" i="7" s="1"/>
  <c r="GHV53" i="7" s="1"/>
  <c r="GHW53" i="7" s="1"/>
  <c r="GHX53" i="7" s="1"/>
  <c r="GHY53" i="7" s="1"/>
  <c r="GHZ53" i="7" s="1"/>
  <c r="GIA53" i="7" s="1"/>
  <c r="GIB53" i="7" s="1"/>
  <c r="GIC53" i="7" s="1"/>
  <c r="GID53" i="7" s="1"/>
  <c r="GIE53" i="7" s="1"/>
  <c r="GIF53" i="7" s="1"/>
  <c r="GIG53" i="7" s="1"/>
  <c r="GIH53" i="7" s="1"/>
  <c r="GII53" i="7" s="1"/>
  <c r="GIJ53" i="7" s="1"/>
  <c r="GIK53" i="7" s="1"/>
  <c r="GIL53" i="7" s="1"/>
  <c r="GIM53" i="7" s="1"/>
  <c r="GIN53" i="7" s="1"/>
  <c r="GIO53" i="7" s="1"/>
  <c r="GIP53" i="7" s="1"/>
  <c r="GIQ53" i="7" s="1"/>
  <c r="GIR53" i="7" s="1"/>
  <c r="GIS53" i="7" s="1"/>
  <c r="GIT53" i="7" s="1"/>
  <c r="GIU53" i="7" s="1"/>
  <c r="GIV53" i="7" s="1"/>
  <c r="GIW53" i="7" s="1"/>
  <c r="GIX53" i="7" s="1"/>
  <c r="GIY53" i="7" s="1"/>
  <c r="GIZ53" i="7" s="1"/>
  <c r="GJA53" i="7" s="1"/>
  <c r="GJB53" i="7" s="1"/>
  <c r="GJC53" i="7" s="1"/>
  <c r="GJD53" i="7" s="1"/>
  <c r="GJE53" i="7" s="1"/>
  <c r="GJF53" i="7" s="1"/>
  <c r="GJG53" i="7" s="1"/>
  <c r="GJH53" i="7" s="1"/>
  <c r="GJI53" i="7" s="1"/>
  <c r="GJJ53" i="7" s="1"/>
  <c r="GJK53" i="7" s="1"/>
  <c r="GJL53" i="7" s="1"/>
  <c r="GJM53" i="7" s="1"/>
  <c r="GJN53" i="7" s="1"/>
  <c r="GJO53" i="7" s="1"/>
  <c r="GJP53" i="7" s="1"/>
  <c r="GJQ53" i="7" s="1"/>
  <c r="GJR53" i="7" s="1"/>
  <c r="GJS53" i="7" s="1"/>
  <c r="GJT53" i="7" s="1"/>
  <c r="GJU53" i="7" s="1"/>
  <c r="GJV53" i="7" s="1"/>
  <c r="GJW53" i="7" s="1"/>
  <c r="GJX53" i="7" s="1"/>
  <c r="GJY53" i="7" s="1"/>
  <c r="GJZ53" i="7" s="1"/>
  <c r="GKA53" i="7" s="1"/>
  <c r="GKB53" i="7" s="1"/>
  <c r="GKC53" i="7" s="1"/>
  <c r="GKD53" i="7" s="1"/>
  <c r="GKE53" i="7" s="1"/>
  <c r="GKF53" i="7" s="1"/>
  <c r="GKG53" i="7" s="1"/>
  <c r="GKH53" i="7" s="1"/>
  <c r="GKI53" i="7" s="1"/>
  <c r="GKJ53" i="7" s="1"/>
  <c r="GKK53" i="7" s="1"/>
  <c r="GKL53" i="7" s="1"/>
  <c r="GKM53" i="7" s="1"/>
  <c r="GKN53" i="7" s="1"/>
  <c r="GKO53" i="7" s="1"/>
  <c r="GKP53" i="7" s="1"/>
  <c r="GKQ53" i="7" s="1"/>
  <c r="GKR53" i="7" s="1"/>
  <c r="GKS53" i="7" s="1"/>
  <c r="GKT53" i="7" s="1"/>
  <c r="GKU53" i="7" s="1"/>
  <c r="GKV53" i="7" s="1"/>
  <c r="GKW53" i="7" s="1"/>
  <c r="GKX53" i="7" s="1"/>
  <c r="GKY53" i="7" s="1"/>
  <c r="GKZ53" i="7" s="1"/>
  <c r="GLA53" i="7" s="1"/>
  <c r="GLB53" i="7" s="1"/>
  <c r="GLC53" i="7" s="1"/>
  <c r="GLD53" i="7" s="1"/>
  <c r="GLE53" i="7" s="1"/>
  <c r="GLF53" i="7" s="1"/>
  <c r="GLG53" i="7" s="1"/>
  <c r="GLH53" i="7" s="1"/>
  <c r="GLI53" i="7" s="1"/>
  <c r="GLJ53" i="7" s="1"/>
  <c r="GLK53" i="7" s="1"/>
  <c r="GLL53" i="7" s="1"/>
  <c r="GLM53" i="7" s="1"/>
  <c r="GLN53" i="7" s="1"/>
  <c r="GLO53" i="7" s="1"/>
  <c r="GLP53" i="7" s="1"/>
  <c r="GLQ53" i="7" s="1"/>
  <c r="GLR53" i="7" s="1"/>
  <c r="GLS53" i="7" s="1"/>
  <c r="GLT53" i="7" s="1"/>
  <c r="GLU53" i="7" s="1"/>
  <c r="GLV53" i="7" s="1"/>
  <c r="GLW53" i="7" s="1"/>
  <c r="GLX53" i="7" s="1"/>
  <c r="GLY53" i="7" s="1"/>
  <c r="GLZ53" i="7" s="1"/>
  <c r="GMA53" i="7" s="1"/>
  <c r="GMB53" i="7" s="1"/>
  <c r="GMC53" i="7" s="1"/>
  <c r="GMD53" i="7" s="1"/>
  <c r="GME53" i="7" s="1"/>
  <c r="GMF53" i="7" s="1"/>
  <c r="GMG53" i="7" s="1"/>
  <c r="GMH53" i="7" s="1"/>
  <c r="GMI53" i="7" s="1"/>
  <c r="GMJ53" i="7" s="1"/>
  <c r="GMK53" i="7" s="1"/>
  <c r="GML53" i="7" s="1"/>
  <c r="GMM53" i="7" s="1"/>
  <c r="GMN53" i="7" s="1"/>
  <c r="GMO53" i="7" s="1"/>
  <c r="GMP53" i="7" s="1"/>
  <c r="GMQ53" i="7" s="1"/>
  <c r="GMR53" i="7" s="1"/>
  <c r="GMS53" i="7" s="1"/>
  <c r="GMT53" i="7" s="1"/>
  <c r="GMU53" i="7" s="1"/>
  <c r="GMV53" i="7" s="1"/>
  <c r="GMW53" i="7" s="1"/>
  <c r="GMX53" i="7" s="1"/>
  <c r="GMY53" i="7" s="1"/>
  <c r="GMZ53" i="7" s="1"/>
  <c r="GNA53" i="7" s="1"/>
  <c r="GNB53" i="7" s="1"/>
  <c r="GNC53" i="7" s="1"/>
  <c r="GND53" i="7" s="1"/>
  <c r="GNE53" i="7" s="1"/>
  <c r="GNF53" i="7" s="1"/>
  <c r="GNG53" i="7" s="1"/>
  <c r="GNH53" i="7" s="1"/>
  <c r="GNI53" i="7" s="1"/>
  <c r="GNJ53" i="7" s="1"/>
  <c r="GNK53" i="7" s="1"/>
  <c r="GNL53" i="7" s="1"/>
  <c r="GNM53" i="7" s="1"/>
  <c r="GNN53" i="7" s="1"/>
  <c r="GNO53" i="7" s="1"/>
  <c r="GNP53" i="7" s="1"/>
  <c r="GNQ53" i="7" s="1"/>
  <c r="GNR53" i="7" s="1"/>
  <c r="GNS53" i="7" s="1"/>
  <c r="GNT53" i="7" s="1"/>
  <c r="GNU53" i="7" s="1"/>
  <c r="GNV53" i="7" s="1"/>
  <c r="GNW53" i="7" s="1"/>
  <c r="GNX53" i="7" s="1"/>
  <c r="GNY53" i="7" s="1"/>
  <c r="GNZ53" i="7" s="1"/>
  <c r="GOA53" i="7" s="1"/>
  <c r="GOB53" i="7" s="1"/>
  <c r="GOC53" i="7" s="1"/>
  <c r="GOD53" i="7" s="1"/>
  <c r="GOE53" i="7" s="1"/>
  <c r="GOF53" i="7" s="1"/>
  <c r="GOG53" i="7" s="1"/>
  <c r="GOH53" i="7" s="1"/>
  <c r="GOI53" i="7" s="1"/>
  <c r="GOJ53" i="7" s="1"/>
  <c r="GOK53" i="7" s="1"/>
  <c r="GOL53" i="7" s="1"/>
  <c r="GOM53" i="7" s="1"/>
  <c r="GON53" i="7" s="1"/>
  <c r="GOO53" i="7" s="1"/>
  <c r="GOP53" i="7" s="1"/>
  <c r="GOQ53" i="7" s="1"/>
  <c r="GOR53" i="7" s="1"/>
  <c r="GOS53" i="7" s="1"/>
  <c r="GOT53" i="7" s="1"/>
  <c r="GOU53" i="7" s="1"/>
  <c r="GOV53" i="7" s="1"/>
  <c r="GOW53" i="7" s="1"/>
  <c r="GOX53" i="7" s="1"/>
  <c r="GOY53" i="7" s="1"/>
  <c r="GOZ53" i="7" s="1"/>
  <c r="GPA53" i="7" s="1"/>
  <c r="GPB53" i="7" s="1"/>
  <c r="GPC53" i="7" s="1"/>
  <c r="GPD53" i="7" s="1"/>
  <c r="GPE53" i="7" s="1"/>
  <c r="GPF53" i="7" s="1"/>
  <c r="GPG53" i="7" s="1"/>
  <c r="GPH53" i="7" s="1"/>
  <c r="GPI53" i="7" s="1"/>
  <c r="GPJ53" i="7" s="1"/>
  <c r="GPK53" i="7" s="1"/>
  <c r="GPL53" i="7" s="1"/>
  <c r="GPM53" i="7" s="1"/>
  <c r="GPN53" i="7" s="1"/>
  <c r="GPO53" i="7" s="1"/>
  <c r="GPP53" i="7" s="1"/>
  <c r="GPQ53" i="7" s="1"/>
  <c r="GPR53" i="7" s="1"/>
  <c r="GPS53" i="7" s="1"/>
  <c r="GPT53" i="7" s="1"/>
  <c r="GPU53" i="7" s="1"/>
  <c r="GPV53" i="7" s="1"/>
  <c r="GPW53" i="7" s="1"/>
  <c r="GPX53" i="7" s="1"/>
  <c r="GPY53" i="7" s="1"/>
  <c r="GPZ53" i="7" s="1"/>
  <c r="GQA53" i="7" s="1"/>
  <c r="GQB53" i="7" s="1"/>
  <c r="GQC53" i="7" s="1"/>
  <c r="GQD53" i="7" s="1"/>
  <c r="GQE53" i="7" s="1"/>
  <c r="GQF53" i="7" s="1"/>
  <c r="GQG53" i="7" s="1"/>
  <c r="GQH53" i="7" s="1"/>
  <c r="GQI53" i="7" s="1"/>
  <c r="GQJ53" i="7" s="1"/>
  <c r="GQK53" i="7" s="1"/>
  <c r="GQL53" i="7" s="1"/>
  <c r="GQM53" i="7" s="1"/>
  <c r="GQN53" i="7" s="1"/>
  <c r="GQO53" i="7" s="1"/>
  <c r="GQP53" i="7" s="1"/>
  <c r="GQQ53" i="7" s="1"/>
  <c r="GQR53" i="7" s="1"/>
  <c r="GQS53" i="7" s="1"/>
  <c r="GQT53" i="7" s="1"/>
  <c r="GQU53" i="7" s="1"/>
  <c r="GQV53" i="7" s="1"/>
  <c r="GQW53" i="7" s="1"/>
  <c r="GQX53" i="7" s="1"/>
  <c r="GQY53" i="7" s="1"/>
  <c r="GQZ53" i="7" s="1"/>
  <c r="GRA53" i="7" s="1"/>
  <c r="GRB53" i="7" s="1"/>
  <c r="GRC53" i="7" s="1"/>
  <c r="GRD53" i="7" s="1"/>
  <c r="GRE53" i="7" s="1"/>
  <c r="GRF53" i="7" s="1"/>
  <c r="GRG53" i="7" s="1"/>
  <c r="GRH53" i="7" s="1"/>
  <c r="GRI53" i="7" s="1"/>
  <c r="GRJ53" i="7" s="1"/>
  <c r="GRK53" i="7" s="1"/>
  <c r="GRL53" i="7" s="1"/>
  <c r="GRM53" i="7" s="1"/>
  <c r="GRN53" i="7" s="1"/>
  <c r="GRO53" i="7" s="1"/>
  <c r="GRP53" i="7" s="1"/>
  <c r="GRQ53" i="7" s="1"/>
  <c r="GRR53" i="7" s="1"/>
  <c r="GRS53" i="7" s="1"/>
  <c r="GRT53" i="7" s="1"/>
  <c r="GRU53" i="7" s="1"/>
  <c r="GRV53" i="7" s="1"/>
  <c r="GRW53" i="7" s="1"/>
  <c r="GRX53" i="7" s="1"/>
  <c r="GRY53" i="7" s="1"/>
  <c r="GRZ53" i="7" s="1"/>
  <c r="GSA53" i="7" s="1"/>
  <c r="GSB53" i="7" s="1"/>
  <c r="GSC53" i="7" s="1"/>
  <c r="GSD53" i="7" s="1"/>
  <c r="GSE53" i="7" s="1"/>
  <c r="GSF53" i="7" s="1"/>
  <c r="GSG53" i="7" s="1"/>
  <c r="GSH53" i="7" s="1"/>
  <c r="GSI53" i="7" s="1"/>
  <c r="GSJ53" i="7" s="1"/>
  <c r="GSK53" i="7" s="1"/>
  <c r="GSL53" i="7" s="1"/>
  <c r="GSM53" i="7" s="1"/>
  <c r="GSN53" i="7" s="1"/>
  <c r="GSO53" i="7" s="1"/>
  <c r="GSP53" i="7" s="1"/>
  <c r="GSQ53" i="7" s="1"/>
  <c r="GSR53" i="7" s="1"/>
  <c r="GSS53" i="7" s="1"/>
  <c r="GST53" i="7" s="1"/>
  <c r="GSU53" i="7" s="1"/>
  <c r="GSV53" i="7" s="1"/>
  <c r="GSW53" i="7" s="1"/>
  <c r="GSX53" i="7" s="1"/>
  <c r="GSY53" i="7" s="1"/>
  <c r="GSZ53" i="7" s="1"/>
  <c r="GTA53" i="7" s="1"/>
  <c r="GTB53" i="7" s="1"/>
  <c r="GTC53" i="7" s="1"/>
  <c r="GTD53" i="7" s="1"/>
  <c r="GTE53" i="7" s="1"/>
  <c r="GTF53" i="7" s="1"/>
  <c r="GTG53" i="7" s="1"/>
  <c r="GTH53" i="7" s="1"/>
  <c r="GTI53" i="7" s="1"/>
  <c r="GTJ53" i="7" s="1"/>
  <c r="GTK53" i="7" s="1"/>
  <c r="GTL53" i="7" s="1"/>
  <c r="GTM53" i="7" s="1"/>
  <c r="GTN53" i="7" s="1"/>
  <c r="GTO53" i="7" s="1"/>
  <c r="GTP53" i="7" s="1"/>
  <c r="GTQ53" i="7" s="1"/>
  <c r="GTR53" i="7" s="1"/>
  <c r="GTS53" i="7" s="1"/>
  <c r="GTT53" i="7" s="1"/>
  <c r="GTU53" i="7" s="1"/>
  <c r="GTV53" i="7" s="1"/>
  <c r="GTW53" i="7" s="1"/>
  <c r="GTX53" i="7" s="1"/>
  <c r="GTY53" i="7" s="1"/>
  <c r="GTZ53" i="7" s="1"/>
  <c r="GUA53" i="7" s="1"/>
  <c r="GUB53" i="7" s="1"/>
  <c r="GUC53" i="7" s="1"/>
  <c r="GUD53" i="7" s="1"/>
  <c r="GUE53" i="7" s="1"/>
  <c r="GUF53" i="7" s="1"/>
  <c r="GUG53" i="7" s="1"/>
  <c r="GUH53" i="7" s="1"/>
  <c r="GUI53" i="7" s="1"/>
  <c r="GUJ53" i="7" s="1"/>
  <c r="GUK53" i="7" s="1"/>
  <c r="GUL53" i="7" s="1"/>
  <c r="GUM53" i="7" s="1"/>
  <c r="GUN53" i="7" s="1"/>
  <c r="GUO53" i="7" s="1"/>
  <c r="GUP53" i="7" s="1"/>
  <c r="GUQ53" i="7" s="1"/>
  <c r="GUR53" i="7" s="1"/>
  <c r="GUS53" i="7" s="1"/>
  <c r="GUT53" i="7" s="1"/>
  <c r="GUU53" i="7" s="1"/>
  <c r="GUV53" i="7" s="1"/>
  <c r="GUW53" i="7" s="1"/>
  <c r="GUX53" i="7" s="1"/>
  <c r="GUY53" i="7" s="1"/>
  <c r="GUZ53" i="7" s="1"/>
  <c r="GVA53" i="7" s="1"/>
  <c r="GVB53" i="7" s="1"/>
  <c r="GVC53" i="7" s="1"/>
  <c r="GVD53" i="7" s="1"/>
  <c r="GVE53" i="7" s="1"/>
  <c r="GVF53" i="7" s="1"/>
  <c r="GVG53" i="7" s="1"/>
  <c r="GVH53" i="7" s="1"/>
  <c r="GVI53" i="7" s="1"/>
  <c r="GVJ53" i="7" s="1"/>
  <c r="GVK53" i="7" s="1"/>
  <c r="GVL53" i="7" s="1"/>
  <c r="GVM53" i="7" s="1"/>
  <c r="GVN53" i="7" s="1"/>
  <c r="GVO53" i="7" s="1"/>
  <c r="GVP53" i="7" s="1"/>
  <c r="GVQ53" i="7" s="1"/>
  <c r="GVR53" i="7" s="1"/>
  <c r="GVS53" i="7" s="1"/>
  <c r="GVT53" i="7" s="1"/>
  <c r="GVU53" i="7" s="1"/>
  <c r="GVV53" i="7" s="1"/>
  <c r="GVW53" i="7" s="1"/>
  <c r="GVX53" i="7" s="1"/>
  <c r="GVY53" i="7" s="1"/>
  <c r="GVZ53" i="7" s="1"/>
  <c r="GWA53" i="7" s="1"/>
  <c r="GWB53" i="7" s="1"/>
  <c r="GWC53" i="7" s="1"/>
  <c r="GWD53" i="7" s="1"/>
  <c r="GWE53" i="7" s="1"/>
  <c r="GWF53" i="7" s="1"/>
  <c r="GWG53" i="7" s="1"/>
  <c r="GWH53" i="7" s="1"/>
  <c r="GWI53" i="7" s="1"/>
  <c r="GWJ53" i="7" s="1"/>
  <c r="GWK53" i="7" s="1"/>
  <c r="GWL53" i="7" s="1"/>
  <c r="GWM53" i="7" s="1"/>
  <c r="GWN53" i="7" s="1"/>
  <c r="GWO53" i="7" s="1"/>
  <c r="GWP53" i="7" s="1"/>
  <c r="GWQ53" i="7" s="1"/>
  <c r="GWR53" i="7" s="1"/>
  <c r="GWS53" i="7" s="1"/>
  <c r="GWT53" i="7" s="1"/>
  <c r="GWU53" i="7" s="1"/>
  <c r="GWV53" i="7" s="1"/>
  <c r="GWW53" i="7" s="1"/>
  <c r="GWX53" i="7" s="1"/>
  <c r="GWY53" i="7" s="1"/>
  <c r="GWZ53" i="7" s="1"/>
  <c r="GXA53" i="7" s="1"/>
  <c r="GXB53" i="7" s="1"/>
  <c r="GXC53" i="7" s="1"/>
  <c r="GXD53" i="7" s="1"/>
  <c r="GXE53" i="7" s="1"/>
  <c r="GXF53" i="7" s="1"/>
  <c r="GXG53" i="7" s="1"/>
  <c r="GXH53" i="7" s="1"/>
  <c r="GXI53" i="7" s="1"/>
  <c r="GXJ53" i="7" s="1"/>
  <c r="GXK53" i="7" s="1"/>
  <c r="GXL53" i="7" s="1"/>
  <c r="GXM53" i="7" s="1"/>
  <c r="GXN53" i="7" s="1"/>
  <c r="GXO53" i="7" s="1"/>
  <c r="GXP53" i="7" s="1"/>
  <c r="GXQ53" i="7" s="1"/>
  <c r="GXR53" i="7" s="1"/>
  <c r="GXS53" i="7" s="1"/>
  <c r="GXT53" i="7" s="1"/>
  <c r="GXU53" i="7" s="1"/>
  <c r="GXV53" i="7" s="1"/>
  <c r="GXW53" i="7" s="1"/>
  <c r="GXX53" i="7" s="1"/>
  <c r="GXY53" i="7" s="1"/>
  <c r="GXZ53" i="7" s="1"/>
  <c r="GYA53" i="7" s="1"/>
  <c r="GYB53" i="7" s="1"/>
  <c r="GYC53" i="7" s="1"/>
  <c r="GYD53" i="7" s="1"/>
  <c r="GYE53" i="7" s="1"/>
  <c r="GYF53" i="7" s="1"/>
  <c r="GYG53" i="7" s="1"/>
  <c r="GYH53" i="7" s="1"/>
  <c r="GYI53" i="7" s="1"/>
  <c r="GYJ53" i="7" s="1"/>
  <c r="GYK53" i="7" s="1"/>
  <c r="GYL53" i="7" s="1"/>
  <c r="GYM53" i="7" s="1"/>
  <c r="GYN53" i="7" s="1"/>
  <c r="GYO53" i="7" s="1"/>
  <c r="GYP53" i="7" s="1"/>
  <c r="GYQ53" i="7" s="1"/>
  <c r="GYR53" i="7" s="1"/>
  <c r="GYS53" i="7" s="1"/>
  <c r="GYT53" i="7" s="1"/>
  <c r="GYU53" i="7" s="1"/>
  <c r="GYV53" i="7" s="1"/>
  <c r="GYW53" i="7" s="1"/>
  <c r="GYX53" i="7" s="1"/>
  <c r="GYY53" i="7" s="1"/>
  <c r="GYZ53" i="7" s="1"/>
  <c r="GZA53" i="7" s="1"/>
  <c r="GZB53" i="7" s="1"/>
  <c r="GZC53" i="7" s="1"/>
  <c r="GZD53" i="7" s="1"/>
  <c r="GZE53" i="7" s="1"/>
  <c r="GZF53" i="7" s="1"/>
  <c r="GZG53" i="7" s="1"/>
  <c r="GZH53" i="7" s="1"/>
  <c r="GZI53" i="7" s="1"/>
  <c r="GZJ53" i="7" s="1"/>
  <c r="GZK53" i="7" s="1"/>
  <c r="GZL53" i="7" s="1"/>
  <c r="GZM53" i="7" s="1"/>
  <c r="GZN53" i="7" s="1"/>
  <c r="GZO53" i="7" s="1"/>
  <c r="GZP53" i="7" s="1"/>
  <c r="GZQ53" i="7" s="1"/>
  <c r="GZR53" i="7" s="1"/>
  <c r="GZS53" i="7" s="1"/>
  <c r="GZT53" i="7" s="1"/>
  <c r="GZU53" i="7" s="1"/>
  <c r="GZV53" i="7" s="1"/>
  <c r="GZW53" i="7" s="1"/>
  <c r="GZX53" i="7" s="1"/>
  <c r="GZY53" i="7" s="1"/>
  <c r="GZZ53" i="7" s="1"/>
  <c r="HAA53" i="7" s="1"/>
  <c r="HAB53" i="7" s="1"/>
  <c r="HAC53" i="7" s="1"/>
  <c r="HAD53" i="7" s="1"/>
  <c r="HAE53" i="7" s="1"/>
  <c r="HAF53" i="7" s="1"/>
  <c r="HAG53" i="7" s="1"/>
  <c r="HAH53" i="7" s="1"/>
  <c r="HAI53" i="7" s="1"/>
  <c r="HAJ53" i="7" s="1"/>
  <c r="HAK53" i="7" s="1"/>
  <c r="HAL53" i="7" s="1"/>
  <c r="HAM53" i="7" s="1"/>
  <c r="HAN53" i="7" s="1"/>
  <c r="HAO53" i="7" s="1"/>
  <c r="HAP53" i="7" s="1"/>
  <c r="HAQ53" i="7" s="1"/>
  <c r="HAR53" i="7" s="1"/>
  <c r="HAS53" i="7" s="1"/>
  <c r="HAT53" i="7" s="1"/>
  <c r="HAU53" i="7" s="1"/>
  <c r="HAV53" i="7" s="1"/>
  <c r="HAW53" i="7" s="1"/>
  <c r="HAX53" i="7" s="1"/>
  <c r="HAY53" i="7" s="1"/>
  <c r="HAZ53" i="7" s="1"/>
  <c r="HBA53" i="7" s="1"/>
  <c r="HBB53" i="7" s="1"/>
  <c r="HBC53" i="7" s="1"/>
  <c r="HBD53" i="7" s="1"/>
  <c r="HBE53" i="7" s="1"/>
  <c r="HBF53" i="7" s="1"/>
  <c r="HBG53" i="7" s="1"/>
  <c r="HBH53" i="7" s="1"/>
  <c r="HBI53" i="7" s="1"/>
  <c r="HBJ53" i="7" s="1"/>
  <c r="HBK53" i="7" s="1"/>
  <c r="HBL53" i="7" s="1"/>
  <c r="HBM53" i="7" s="1"/>
  <c r="HBN53" i="7" s="1"/>
  <c r="HBO53" i="7" s="1"/>
  <c r="HBP53" i="7" s="1"/>
  <c r="HBQ53" i="7" s="1"/>
  <c r="HBR53" i="7" s="1"/>
  <c r="HBS53" i="7" s="1"/>
  <c r="HBT53" i="7" s="1"/>
  <c r="HBU53" i="7" s="1"/>
  <c r="HBV53" i="7" s="1"/>
  <c r="HBW53" i="7" s="1"/>
  <c r="HBX53" i="7" s="1"/>
  <c r="HBY53" i="7" s="1"/>
  <c r="HBZ53" i="7" s="1"/>
  <c r="HCA53" i="7" s="1"/>
  <c r="HCB53" i="7" s="1"/>
  <c r="HCC53" i="7" s="1"/>
  <c r="HCD53" i="7" s="1"/>
  <c r="HCE53" i="7" s="1"/>
  <c r="HCF53" i="7" s="1"/>
  <c r="HCG53" i="7" s="1"/>
  <c r="HCH53" i="7" s="1"/>
  <c r="HCI53" i="7" s="1"/>
  <c r="HCJ53" i="7" s="1"/>
  <c r="HCK53" i="7" s="1"/>
  <c r="HCL53" i="7" s="1"/>
  <c r="HCM53" i="7" s="1"/>
  <c r="HCN53" i="7" s="1"/>
  <c r="HCO53" i="7" s="1"/>
  <c r="HCP53" i="7" s="1"/>
  <c r="HCQ53" i="7" s="1"/>
  <c r="HCR53" i="7" s="1"/>
  <c r="HCS53" i="7" s="1"/>
  <c r="HCT53" i="7" s="1"/>
  <c r="HCU53" i="7" s="1"/>
  <c r="HCV53" i="7" s="1"/>
  <c r="HCW53" i="7" s="1"/>
  <c r="HCX53" i="7" s="1"/>
  <c r="HCY53" i="7" s="1"/>
  <c r="HCZ53" i="7" s="1"/>
  <c r="HDA53" i="7" s="1"/>
  <c r="HDB53" i="7" s="1"/>
  <c r="HDC53" i="7" s="1"/>
  <c r="HDD53" i="7" s="1"/>
  <c r="HDE53" i="7" s="1"/>
  <c r="HDF53" i="7" s="1"/>
  <c r="HDG53" i="7" s="1"/>
  <c r="HDH53" i="7" s="1"/>
  <c r="HDI53" i="7" s="1"/>
  <c r="HDJ53" i="7" s="1"/>
  <c r="HDK53" i="7" s="1"/>
  <c r="HDL53" i="7" s="1"/>
  <c r="HDM53" i="7" s="1"/>
  <c r="HDN53" i="7" s="1"/>
  <c r="HDO53" i="7" s="1"/>
  <c r="HDP53" i="7" s="1"/>
  <c r="HDQ53" i="7" s="1"/>
  <c r="HDR53" i="7" s="1"/>
  <c r="HDS53" i="7" s="1"/>
  <c r="HDT53" i="7" s="1"/>
  <c r="HDU53" i="7" s="1"/>
  <c r="HDV53" i="7" s="1"/>
  <c r="HDW53" i="7" s="1"/>
  <c r="HDX53" i="7" s="1"/>
  <c r="HDY53" i="7" s="1"/>
  <c r="HDZ53" i="7" s="1"/>
  <c r="HEA53" i="7" s="1"/>
  <c r="HEB53" i="7" s="1"/>
  <c r="HEC53" i="7" s="1"/>
  <c r="HED53" i="7" s="1"/>
  <c r="HEE53" i="7" s="1"/>
  <c r="HEF53" i="7" s="1"/>
  <c r="HEG53" i="7" s="1"/>
  <c r="HEH53" i="7" s="1"/>
  <c r="HEI53" i="7" s="1"/>
  <c r="HEJ53" i="7" s="1"/>
  <c r="HEK53" i="7" s="1"/>
  <c r="HEL53" i="7" s="1"/>
  <c r="HEM53" i="7" s="1"/>
  <c r="HEN53" i="7" s="1"/>
  <c r="HEO53" i="7" s="1"/>
  <c r="HEP53" i="7" s="1"/>
  <c r="HEQ53" i="7" s="1"/>
  <c r="HER53" i="7" s="1"/>
  <c r="HES53" i="7" s="1"/>
  <c r="HET53" i="7" s="1"/>
  <c r="HEU53" i="7" s="1"/>
  <c r="HEV53" i="7" s="1"/>
  <c r="HEW53" i="7" s="1"/>
  <c r="HEX53" i="7" s="1"/>
  <c r="HEY53" i="7" s="1"/>
  <c r="HEZ53" i="7" s="1"/>
  <c r="HFA53" i="7" s="1"/>
  <c r="HFB53" i="7" s="1"/>
  <c r="HFC53" i="7" s="1"/>
  <c r="HFD53" i="7" s="1"/>
  <c r="HFE53" i="7" s="1"/>
  <c r="HFF53" i="7" s="1"/>
  <c r="HFG53" i="7" s="1"/>
  <c r="HFH53" i="7" s="1"/>
  <c r="HFI53" i="7" s="1"/>
  <c r="HFJ53" i="7" s="1"/>
  <c r="HFK53" i="7" s="1"/>
  <c r="HFL53" i="7" s="1"/>
  <c r="HFM53" i="7" s="1"/>
  <c r="HFN53" i="7" s="1"/>
  <c r="HFO53" i="7" s="1"/>
  <c r="HFP53" i="7" s="1"/>
  <c r="HFQ53" i="7" s="1"/>
  <c r="HFR53" i="7" s="1"/>
  <c r="HFS53" i="7" s="1"/>
  <c r="HFT53" i="7" s="1"/>
  <c r="HFU53" i="7" s="1"/>
  <c r="HFV53" i="7" s="1"/>
  <c r="HFW53" i="7" s="1"/>
  <c r="HFX53" i="7" s="1"/>
  <c r="HFY53" i="7" s="1"/>
  <c r="HFZ53" i="7" s="1"/>
  <c r="HGA53" i="7" s="1"/>
  <c r="HGB53" i="7" s="1"/>
  <c r="HGC53" i="7" s="1"/>
  <c r="HGD53" i="7" s="1"/>
  <c r="HGE53" i="7" s="1"/>
  <c r="HGF53" i="7" s="1"/>
  <c r="HGG53" i="7" s="1"/>
  <c r="HGH53" i="7" s="1"/>
  <c r="HGI53" i="7" s="1"/>
  <c r="HGJ53" i="7" s="1"/>
  <c r="HGK53" i="7" s="1"/>
  <c r="HGL53" i="7" s="1"/>
  <c r="HGM53" i="7" s="1"/>
  <c r="HGN53" i="7" s="1"/>
  <c r="HGO53" i="7" s="1"/>
  <c r="HGP53" i="7" s="1"/>
  <c r="HGQ53" i="7" s="1"/>
  <c r="HGR53" i="7" s="1"/>
  <c r="HGS53" i="7" s="1"/>
  <c r="HGT53" i="7" s="1"/>
  <c r="HGU53" i="7" s="1"/>
  <c r="HGV53" i="7" s="1"/>
  <c r="HGW53" i="7" s="1"/>
  <c r="HGX53" i="7" s="1"/>
  <c r="HGY53" i="7" s="1"/>
  <c r="HGZ53" i="7" s="1"/>
  <c r="HHA53" i="7" s="1"/>
  <c r="HHB53" i="7" s="1"/>
  <c r="HHC53" i="7" s="1"/>
  <c r="HHD53" i="7" s="1"/>
  <c r="HHE53" i="7" s="1"/>
  <c r="HHF53" i="7" s="1"/>
  <c r="HHG53" i="7" s="1"/>
  <c r="HHH53" i="7" s="1"/>
  <c r="HHI53" i="7" s="1"/>
  <c r="HHJ53" i="7" s="1"/>
  <c r="HHK53" i="7" s="1"/>
  <c r="HHL53" i="7" s="1"/>
  <c r="HHM53" i="7" s="1"/>
  <c r="HHN53" i="7" s="1"/>
  <c r="HHO53" i="7" s="1"/>
  <c r="HHP53" i="7" s="1"/>
  <c r="HHQ53" i="7" s="1"/>
  <c r="HHR53" i="7" s="1"/>
  <c r="HHS53" i="7" s="1"/>
  <c r="HHT53" i="7" s="1"/>
  <c r="HHU53" i="7" s="1"/>
  <c r="HHV53" i="7" s="1"/>
  <c r="HHW53" i="7" s="1"/>
  <c r="HHX53" i="7" s="1"/>
  <c r="HHY53" i="7" s="1"/>
  <c r="HHZ53" i="7" s="1"/>
  <c r="HIA53" i="7" s="1"/>
  <c r="HIB53" i="7" s="1"/>
  <c r="HIC53" i="7" s="1"/>
  <c r="HID53" i="7" s="1"/>
  <c r="HIE53" i="7" s="1"/>
  <c r="HIF53" i="7" s="1"/>
  <c r="HIG53" i="7" s="1"/>
  <c r="HIH53" i="7" s="1"/>
  <c r="HII53" i="7" s="1"/>
  <c r="HIJ53" i="7" s="1"/>
  <c r="HIK53" i="7" s="1"/>
  <c r="HIL53" i="7" s="1"/>
  <c r="HIM53" i="7" s="1"/>
  <c r="HIN53" i="7" s="1"/>
  <c r="HIO53" i="7" s="1"/>
  <c r="HIP53" i="7" s="1"/>
  <c r="HIQ53" i="7" s="1"/>
  <c r="HIR53" i="7" s="1"/>
  <c r="HIS53" i="7" s="1"/>
  <c r="HIT53" i="7" s="1"/>
  <c r="HIU53" i="7" s="1"/>
  <c r="HIV53" i="7" s="1"/>
  <c r="HIW53" i="7" s="1"/>
  <c r="HIX53" i="7" s="1"/>
  <c r="HIY53" i="7" s="1"/>
  <c r="HIZ53" i="7" s="1"/>
  <c r="HJA53" i="7" s="1"/>
  <c r="HJB53" i="7" s="1"/>
  <c r="HJC53" i="7" s="1"/>
  <c r="HJD53" i="7" s="1"/>
  <c r="HJE53" i="7" s="1"/>
  <c r="HJF53" i="7" s="1"/>
  <c r="HJG53" i="7" s="1"/>
  <c r="HJH53" i="7" s="1"/>
  <c r="HJI53" i="7" s="1"/>
  <c r="HJJ53" i="7" s="1"/>
  <c r="HJK53" i="7" s="1"/>
  <c r="HJL53" i="7" s="1"/>
  <c r="HJM53" i="7" s="1"/>
  <c r="HJN53" i="7" s="1"/>
  <c r="HJO53" i="7" s="1"/>
  <c r="HJP53" i="7" s="1"/>
  <c r="HJQ53" i="7" s="1"/>
  <c r="HJR53" i="7" s="1"/>
  <c r="HJS53" i="7" s="1"/>
  <c r="HJT53" i="7" s="1"/>
  <c r="HJU53" i="7" s="1"/>
  <c r="HJV53" i="7" s="1"/>
  <c r="HJW53" i="7" s="1"/>
  <c r="HJX53" i="7" s="1"/>
  <c r="HJY53" i="7" s="1"/>
  <c r="HJZ53" i="7" s="1"/>
  <c r="HKA53" i="7" s="1"/>
  <c r="HKB53" i="7" s="1"/>
  <c r="HKC53" i="7" s="1"/>
  <c r="HKD53" i="7" s="1"/>
  <c r="HKE53" i="7" s="1"/>
  <c r="HKF53" i="7" s="1"/>
  <c r="HKG53" i="7" s="1"/>
  <c r="HKH53" i="7" s="1"/>
  <c r="HKI53" i="7" s="1"/>
  <c r="HKJ53" i="7" s="1"/>
  <c r="HKK53" i="7" s="1"/>
  <c r="HKL53" i="7" s="1"/>
  <c r="HKM53" i="7" s="1"/>
  <c r="HKN53" i="7" s="1"/>
  <c r="HKO53" i="7" s="1"/>
  <c r="HKP53" i="7" s="1"/>
  <c r="HKQ53" i="7" s="1"/>
  <c r="HKR53" i="7" s="1"/>
  <c r="HKS53" i="7" s="1"/>
  <c r="HKT53" i="7" s="1"/>
  <c r="HKU53" i="7" s="1"/>
  <c r="HKV53" i="7" s="1"/>
  <c r="HKW53" i="7" s="1"/>
  <c r="HKX53" i="7" s="1"/>
  <c r="HKY53" i="7" s="1"/>
  <c r="HKZ53" i="7" s="1"/>
  <c r="HLA53" i="7" s="1"/>
  <c r="HLB53" i="7" s="1"/>
  <c r="HLC53" i="7" s="1"/>
  <c r="HLD53" i="7" s="1"/>
  <c r="HLE53" i="7" s="1"/>
  <c r="HLF53" i="7" s="1"/>
  <c r="HLG53" i="7" s="1"/>
  <c r="HLH53" i="7" s="1"/>
  <c r="HLI53" i="7" s="1"/>
  <c r="HLJ53" i="7" s="1"/>
  <c r="HLK53" i="7" s="1"/>
  <c r="HLL53" i="7" s="1"/>
  <c r="HLM53" i="7" s="1"/>
  <c r="HLN53" i="7" s="1"/>
  <c r="HLO53" i="7" s="1"/>
  <c r="HLP53" i="7" s="1"/>
  <c r="HLQ53" i="7" s="1"/>
  <c r="HLR53" i="7" s="1"/>
  <c r="HLS53" i="7" s="1"/>
  <c r="HLT53" i="7" s="1"/>
  <c r="HLU53" i="7" s="1"/>
  <c r="HLV53" i="7" s="1"/>
  <c r="HLW53" i="7" s="1"/>
  <c r="HLX53" i="7" s="1"/>
  <c r="HLY53" i="7" s="1"/>
  <c r="HLZ53" i="7" s="1"/>
  <c r="HMA53" i="7" s="1"/>
  <c r="HMB53" i="7" s="1"/>
  <c r="HMC53" i="7" s="1"/>
  <c r="HMD53" i="7" s="1"/>
  <c r="HME53" i="7" s="1"/>
  <c r="HMF53" i="7" s="1"/>
  <c r="HMG53" i="7" s="1"/>
  <c r="HMH53" i="7" s="1"/>
  <c r="HMI53" i="7" s="1"/>
  <c r="HMJ53" i="7" s="1"/>
  <c r="HMK53" i="7" s="1"/>
  <c r="HML53" i="7" s="1"/>
  <c r="HMM53" i="7" s="1"/>
  <c r="HMN53" i="7" s="1"/>
  <c r="HMO53" i="7" s="1"/>
  <c r="HMP53" i="7" s="1"/>
  <c r="HMQ53" i="7" s="1"/>
  <c r="HMR53" i="7" s="1"/>
  <c r="HMS53" i="7" s="1"/>
  <c r="HMT53" i="7" s="1"/>
  <c r="HMU53" i="7" s="1"/>
  <c r="HMV53" i="7" s="1"/>
  <c r="HMW53" i="7" s="1"/>
  <c r="HMX53" i="7" s="1"/>
  <c r="HMY53" i="7" s="1"/>
  <c r="HMZ53" i="7" s="1"/>
  <c r="HNA53" i="7" s="1"/>
  <c r="HNB53" i="7" s="1"/>
  <c r="HNC53" i="7" s="1"/>
  <c r="HND53" i="7" s="1"/>
  <c r="HNE53" i="7" s="1"/>
  <c r="HNF53" i="7" s="1"/>
  <c r="HNG53" i="7" s="1"/>
  <c r="HNH53" i="7" s="1"/>
  <c r="HNI53" i="7" s="1"/>
  <c r="HNJ53" i="7" s="1"/>
  <c r="HNK53" i="7" s="1"/>
  <c r="HNL53" i="7" s="1"/>
  <c r="HNM53" i="7" s="1"/>
  <c r="HNN53" i="7" s="1"/>
  <c r="HNO53" i="7" s="1"/>
  <c r="HNP53" i="7" s="1"/>
  <c r="HNQ53" i="7" s="1"/>
  <c r="HNR53" i="7" s="1"/>
  <c r="HNS53" i="7" s="1"/>
  <c r="HNT53" i="7" s="1"/>
  <c r="HNU53" i="7" s="1"/>
  <c r="HNV53" i="7" s="1"/>
  <c r="HNW53" i="7" s="1"/>
  <c r="HNX53" i="7" s="1"/>
  <c r="HNY53" i="7" s="1"/>
  <c r="HNZ53" i="7" s="1"/>
  <c r="HOA53" i="7" s="1"/>
  <c r="HOB53" i="7" s="1"/>
  <c r="HOC53" i="7" s="1"/>
  <c r="HOD53" i="7" s="1"/>
  <c r="HOE53" i="7" s="1"/>
  <c r="HOF53" i="7" s="1"/>
  <c r="HOG53" i="7" s="1"/>
  <c r="HOH53" i="7" s="1"/>
  <c r="HOI53" i="7" s="1"/>
  <c r="HOJ53" i="7" s="1"/>
  <c r="HOK53" i="7" s="1"/>
  <c r="HOL53" i="7" s="1"/>
  <c r="HOM53" i="7" s="1"/>
  <c r="HON53" i="7" s="1"/>
  <c r="HOO53" i="7" s="1"/>
  <c r="HOP53" i="7" s="1"/>
  <c r="HOQ53" i="7" s="1"/>
  <c r="HOR53" i="7" s="1"/>
  <c r="HOS53" i="7" s="1"/>
  <c r="HOT53" i="7" s="1"/>
  <c r="HOU53" i="7" s="1"/>
  <c r="HOV53" i="7" s="1"/>
  <c r="HOW53" i="7" s="1"/>
  <c r="HOX53" i="7" s="1"/>
  <c r="HOY53" i="7" s="1"/>
  <c r="HOZ53" i="7" s="1"/>
  <c r="HPA53" i="7" s="1"/>
  <c r="HPB53" i="7" s="1"/>
  <c r="HPC53" i="7" s="1"/>
  <c r="HPD53" i="7" s="1"/>
  <c r="HPE53" i="7" s="1"/>
  <c r="HPF53" i="7" s="1"/>
  <c r="HPG53" i="7" s="1"/>
  <c r="HPH53" i="7" s="1"/>
  <c r="HPI53" i="7" s="1"/>
  <c r="HPJ53" i="7" s="1"/>
  <c r="HPK53" i="7" s="1"/>
  <c r="HPL53" i="7" s="1"/>
  <c r="HPM53" i="7" s="1"/>
  <c r="HPN53" i="7" s="1"/>
  <c r="HPO53" i="7" s="1"/>
  <c r="HPP53" i="7" s="1"/>
  <c r="HPQ53" i="7" s="1"/>
  <c r="HPR53" i="7" s="1"/>
  <c r="HPS53" i="7" s="1"/>
  <c r="HPT53" i="7" s="1"/>
  <c r="HPU53" i="7" s="1"/>
  <c r="HPV53" i="7" s="1"/>
  <c r="HPW53" i="7" s="1"/>
  <c r="HPX53" i="7" s="1"/>
  <c r="HPY53" i="7" s="1"/>
  <c r="HPZ53" i="7" s="1"/>
  <c r="HQA53" i="7" s="1"/>
  <c r="HQB53" i="7" s="1"/>
  <c r="HQC53" i="7" s="1"/>
  <c r="HQD53" i="7" s="1"/>
  <c r="HQE53" i="7" s="1"/>
  <c r="HQF53" i="7" s="1"/>
  <c r="HQG53" i="7" s="1"/>
  <c r="HQH53" i="7" s="1"/>
  <c r="HQI53" i="7" s="1"/>
  <c r="HQJ53" i="7" s="1"/>
  <c r="HQK53" i="7" s="1"/>
  <c r="HQL53" i="7" s="1"/>
  <c r="HQM53" i="7" s="1"/>
  <c r="HQN53" i="7" s="1"/>
  <c r="HQO53" i="7" s="1"/>
  <c r="HQP53" i="7" s="1"/>
  <c r="HQQ53" i="7" s="1"/>
  <c r="HQR53" i="7" s="1"/>
  <c r="HQS53" i="7" s="1"/>
  <c r="HQT53" i="7" s="1"/>
  <c r="HQU53" i="7" s="1"/>
  <c r="HQV53" i="7" s="1"/>
  <c r="HQW53" i="7" s="1"/>
  <c r="HQX53" i="7" s="1"/>
  <c r="HQY53" i="7" s="1"/>
  <c r="HQZ53" i="7" s="1"/>
  <c r="HRA53" i="7" s="1"/>
  <c r="HRB53" i="7" s="1"/>
  <c r="HRC53" i="7" s="1"/>
  <c r="HRD53" i="7" s="1"/>
  <c r="HRE53" i="7" s="1"/>
  <c r="HRF53" i="7" s="1"/>
  <c r="HRG53" i="7" s="1"/>
  <c r="HRH53" i="7" s="1"/>
  <c r="HRI53" i="7" s="1"/>
  <c r="HRJ53" i="7" s="1"/>
  <c r="HRK53" i="7" s="1"/>
  <c r="HRL53" i="7" s="1"/>
  <c r="HRM53" i="7" s="1"/>
  <c r="HRN53" i="7" s="1"/>
  <c r="HRO53" i="7" s="1"/>
  <c r="HRP53" i="7" s="1"/>
  <c r="HRQ53" i="7" s="1"/>
  <c r="HRR53" i="7" s="1"/>
  <c r="HRS53" i="7" s="1"/>
  <c r="HRT53" i="7" s="1"/>
  <c r="HRU53" i="7" s="1"/>
  <c r="HRV53" i="7" s="1"/>
  <c r="HRW53" i="7" s="1"/>
  <c r="HRX53" i="7" s="1"/>
  <c r="HRY53" i="7" s="1"/>
  <c r="HRZ53" i="7" s="1"/>
  <c r="HSA53" i="7" s="1"/>
  <c r="HSB53" i="7" s="1"/>
  <c r="HSC53" i="7" s="1"/>
  <c r="HSD53" i="7" s="1"/>
  <c r="HSE53" i="7" s="1"/>
  <c r="HSF53" i="7" s="1"/>
  <c r="HSG53" i="7" s="1"/>
  <c r="HSH53" i="7" s="1"/>
  <c r="HSI53" i="7" s="1"/>
  <c r="HSJ53" i="7" s="1"/>
  <c r="HSK53" i="7" s="1"/>
  <c r="HSL53" i="7" s="1"/>
  <c r="HSM53" i="7" s="1"/>
  <c r="HSN53" i="7" s="1"/>
  <c r="HSO53" i="7" s="1"/>
  <c r="HSP53" i="7" s="1"/>
  <c r="HSQ53" i="7" s="1"/>
  <c r="HSR53" i="7" s="1"/>
  <c r="HSS53" i="7" s="1"/>
  <c r="HST53" i="7" s="1"/>
  <c r="HSU53" i="7" s="1"/>
  <c r="HSV53" i="7" s="1"/>
  <c r="HSW53" i="7" s="1"/>
  <c r="HSX53" i="7" s="1"/>
  <c r="HSY53" i="7" s="1"/>
  <c r="HSZ53" i="7" s="1"/>
  <c r="HTA53" i="7" s="1"/>
  <c r="HTB53" i="7" s="1"/>
  <c r="HTC53" i="7" s="1"/>
  <c r="HTD53" i="7" s="1"/>
  <c r="HTE53" i="7" s="1"/>
  <c r="HTF53" i="7" s="1"/>
  <c r="HTG53" i="7" s="1"/>
  <c r="HTH53" i="7" s="1"/>
  <c r="HTI53" i="7" s="1"/>
  <c r="HTJ53" i="7" s="1"/>
  <c r="HTK53" i="7" s="1"/>
  <c r="HTL53" i="7" s="1"/>
  <c r="HTM53" i="7" s="1"/>
  <c r="HTN53" i="7" s="1"/>
  <c r="HTO53" i="7" s="1"/>
  <c r="HTP53" i="7" s="1"/>
  <c r="HTQ53" i="7" s="1"/>
  <c r="HTR53" i="7" s="1"/>
  <c r="HTS53" i="7" s="1"/>
  <c r="HTT53" i="7" s="1"/>
  <c r="HTU53" i="7" s="1"/>
  <c r="HTV53" i="7" s="1"/>
  <c r="HTW53" i="7" s="1"/>
  <c r="HTX53" i="7" s="1"/>
  <c r="HTY53" i="7" s="1"/>
  <c r="HTZ53" i="7" s="1"/>
  <c r="HUA53" i="7" s="1"/>
  <c r="HUB53" i="7" s="1"/>
  <c r="HUC53" i="7" s="1"/>
  <c r="HUD53" i="7" s="1"/>
  <c r="HUE53" i="7" s="1"/>
  <c r="HUF53" i="7" s="1"/>
  <c r="HUG53" i="7" s="1"/>
  <c r="HUH53" i="7" s="1"/>
  <c r="HUI53" i="7" s="1"/>
  <c r="HUJ53" i="7" s="1"/>
  <c r="HUK53" i="7" s="1"/>
  <c r="HUL53" i="7" s="1"/>
  <c r="HUM53" i="7" s="1"/>
  <c r="HUN53" i="7" s="1"/>
  <c r="HUO53" i="7" s="1"/>
  <c r="HUP53" i="7" s="1"/>
  <c r="HUQ53" i="7" s="1"/>
  <c r="HUR53" i="7" s="1"/>
  <c r="HUS53" i="7" s="1"/>
  <c r="HUT53" i="7" s="1"/>
  <c r="HUU53" i="7" s="1"/>
  <c r="HUV53" i="7" s="1"/>
  <c r="HUW53" i="7" s="1"/>
  <c r="HUX53" i="7" s="1"/>
  <c r="HUY53" i="7" s="1"/>
  <c r="HUZ53" i="7" s="1"/>
  <c r="HVA53" i="7" s="1"/>
  <c r="HVB53" i="7" s="1"/>
  <c r="HVC53" i="7" s="1"/>
  <c r="HVD53" i="7" s="1"/>
  <c r="HVE53" i="7" s="1"/>
  <c r="HVF53" i="7" s="1"/>
  <c r="HVG53" i="7" s="1"/>
  <c r="HVH53" i="7" s="1"/>
  <c r="HVI53" i="7" s="1"/>
  <c r="HVJ53" i="7" s="1"/>
  <c r="HVK53" i="7" s="1"/>
  <c r="HVL53" i="7" s="1"/>
  <c r="HVM53" i="7" s="1"/>
  <c r="HVN53" i="7" s="1"/>
  <c r="HVO53" i="7" s="1"/>
  <c r="HVP53" i="7" s="1"/>
  <c r="HVQ53" i="7" s="1"/>
  <c r="HVR53" i="7" s="1"/>
  <c r="HVS53" i="7" s="1"/>
  <c r="HVT53" i="7" s="1"/>
  <c r="HVU53" i="7" s="1"/>
  <c r="HVV53" i="7" s="1"/>
  <c r="HVW53" i="7" s="1"/>
  <c r="HVX53" i="7" s="1"/>
  <c r="HVY53" i="7" s="1"/>
  <c r="HVZ53" i="7" s="1"/>
  <c r="HWA53" i="7" s="1"/>
  <c r="HWB53" i="7" s="1"/>
  <c r="HWC53" i="7" s="1"/>
  <c r="HWD53" i="7" s="1"/>
  <c r="HWE53" i="7" s="1"/>
  <c r="HWF53" i="7" s="1"/>
  <c r="HWG53" i="7" s="1"/>
  <c r="HWH53" i="7" s="1"/>
  <c r="HWI53" i="7" s="1"/>
  <c r="HWJ53" i="7" s="1"/>
  <c r="HWK53" i="7" s="1"/>
  <c r="HWL53" i="7" s="1"/>
  <c r="HWM53" i="7" s="1"/>
  <c r="HWN53" i="7" s="1"/>
  <c r="HWO53" i="7" s="1"/>
  <c r="HWP53" i="7" s="1"/>
  <c r="HWQ53" i="7" s="1"/>
  <c r="HWR53" i="7" s="1"/>
  <c r="HWS53" i="7" s="1"/>
  <c r="HWT53" i="7" s="1"/>
  <c r="HWU53" i="7" s="1"/>
  <c r="HWV53" i="7" s="1"/>
  <c r="HWW53" i="7" s="1"/>
  <c r="HWX53" i="7" s="1"/>
  <c r="HWY53" i="7" s="1"/>
  <c r="HWZ53" i="7" s="1"/>
  <c r="HXA53" i="7" s="1"/>
  <c r="HXB53" i="7" s="1"/>
  <c r="HXC53" i="7" s="1"/>
  <c r="HXD53" i="7" s="1"/>
  <c r="HXE53" i="7" s="1"/>
  <c r="HXF53" i="7" s="1"/>
  <c r="HXG53" i="7" s="1"/>
  <c r="HXH53" i="7" s="1"/>
  <c r="HXI53" i="7" s="1"/>
  <c r="HXJ53" i="7" s="1"/>
  <c r="HXK53" i="7" s="1"/>
  <c r="HXL53" i="7" s="1"/>
  <c r="HXM53" i="7" s="1"/>
  <c r="HXN53" i="7" s="1"/>
  <c r="HXO53" i="7" s="1"/>
  <c r="HXP53" i="7" s="1"/>
  <c r="HXQ53" i="7" s="1"/>
  <c r="HXR53" i="7" s="1"/>
  <c r="HXS53" i="7" s="1"/>
  <c r="HXT53" i="7" s="1"/>
  <c r="HXU53" i="7" s="1"/>
  <c r="HXV53" i="7" s="1"/>
  <c r="HXW53" i="7" s="1"/>
  <c r="HXX53" i="7" s="1"/>
  <c r="HXY53" i="7" s="1"/>
  <c r="HXZ53" i="7" s="1"/>
  <c r="HYA53" i="7" s="1"/>
  <c r="HYB53" i="7" s="1"/>
  <c r="HYC53" i="7" s="1"/>
  <c r="HYD53" i="7" s="1"/>
  <c r="HYE53" i="7" s="1"/>
  <c r="HYF53" i="7" s="1"/>
  <c r="HYG53" i="7" s="1"/>
  <c r="HYH53" i="7" s="1"/>
  <c r="HYI53" i="7" s="1"/>
  <c r="HYJ53" i="7" s="1"/>
  <c r="HYK53" i="7" s="1"/>
  <c r="HYL53" i="7" s="1"/>
  <c r="HYM53" i="7" s="1"/>
  <c r="HYN53" i="7" s="1"/>
  <c r="HYO53" i="7" s="1"/>
  <c r="HYP53" i="7" s="1"/>
  <c r="HYQ53" i="7" s="1"/>
  <c r="HYR53" i="7" s="1"/>
  <c r="HYS53" i="7" s="1"/>
  <c r="HYT53" i="7" s="1"/>
  <c r="HYU53" i="7" s="1"/>
  <c r="HYV53" i="7" s="1"/>
  <c r="HYW53" i="7" s="1"/>
  <c r="HYX53" i="7" s="1"/>
  <c r="HYY53" i="7" s="1"/>
  <c r="HYZ53" i="7" s="1"/>
  <c r="HZA53" i="7" s="1"/>
  <c r="HZB53" i="7" s="1"/>
  <c r="HZC53" i="7" s="1"/>
  <c r="HZD53" i="7" s="1"/>
  <c r="HZE53" i="7" s="1"/>
  <c r="HZF53" i="7" s="1"/>
  <c r="HZG53" i="7" s="1"/>
  <c r="HZH53" i="7" s="1"/>
  <c r="HZI53" i="7" s="1"/>
  <c r="HZJ53" i="7" s="1"/>
  <c r="HZK53" i="7" s="1"/>
  <c r="HZL53" i="7" s="1"/>
  <c r="HZM53" i="7" s="1"/>
  <c r="HZN53" i="7" s="1"/>
  <c r="HZO53" i="7" s="1"/>
  <c r="HZP53" i="7" s="1"/>
  <c r="HZQ53" i="7" s="1"/>
  <c r="HZR53" i="7" s="1"/>
  <c r="HZS53" i="7" s="1"/>
  <c r="HZT53" i="7" s="1"/>
  <c r="HZU53" i="7" s="1"/>
  <c r="HZV53" i="7" s="1"/>
  <c r="HZW53" i="7" s="1"/>
  <c r="HZX53" i="7" s="1"/>
  <c r="HZY53" i="7" s="1"/>
  <c r="HZZ53" i="7" s="1"/>
  <c r="IAA53" i="7" s="1"/>
  <c r="IAB53" i="7" s="1"/>
  <c r="IAC53" i="7" s="1"/>
  <c r="IAD53" i="7" s="1"/>
  <c r="IAE53" i="7" s="1"/>
  <c r="IAF53" i="7" s="1"/>
  <c r="IAG53" i="7" s="1"/>
  <c r="IAH53" i="7" s="1"/>
  <c r="IAI53" i="7" s="1"/>
  <c r="IAJ53" i="7" s="1"/>
  <c r="IAK53" i="7" s="1"/>
  <c r="IAL53" i="7" s="1"/>
  <c r="IAM53" i="7" s="1"/>
  <c r="IAN53" i="7" s="1"/>
  <c r="IAO53" i="7" s="1"/>
  <c r="IAP53" i="7" s="1"/>
  <c r="IAQ53" i="7" s="1"/>
  <c r="IAR53" i="7" s="1"/>
  <c r="IAS53" i="7" s="1"/>
  <c r="IAT53" i="7" s="1"/>
  <c r="IAU53" i="7" s="1"/>
  <c r="IAV53" i="7" s="1"/>
  <c r="IAW53" i="7" s="1"/>
  <c r="IAX53" i="7" s="1"/>
  <c r="IAY53" i="7" s="1"/>
  <c r="IAZ53" i="7" s="1"/>
  <c r="IBA53" i="7" s="1"/>
  <c r="IBB53" i="7" s="1"/>
  <c r="IBC53" i="7" s="1"/>
  <c r="IBD53" i="7" s="1"/>
  <c r="IBE53" i="7" s="1"/>
  <c r="IBF53" i="7" s="1"/>
  <c r="IBG53" i="7" s="1"/>
  <c r="IBH53" i="7" s="1"/>
  <c r="IBI53" i="7" s="1"/>
  <c r="IBJ53" i="7" s="1"/>
  <c r="IBK53" i="7" s="1"/>
  <c r="IBL53" i="7" s="1"/>
  <c r="IBM53" i="7" s="1"/>
  <c r="IBN53" i="7" s="1"/>
  <c r="IBO53" i="7" s="1"/>
  <c r="IBP53" i="7" s="1"/>
  <c r="IBQ53" i="7" s="1"/>
  <c r="IBR53" i="7" s="1"/>
  <c r="IBS53" i="7" s="1"/>
  <c r="IBT53" i="7" s="1"/>
  <c r="IBU53" i="7" s="1"/>
  <c r="IBV53" i="7" s="1"/>
  <c r="IBW53" i="7" s="1"/>
  <c r="IBX53" i="7" s="1"/>
  <c r="IBY53" i="7" s="1"/>
  <c r="IBZ53" i="7" s="1"/>
  <c r="ICA53" i="7" s="1"/>
  <c r="ICB53" i="7" s="1"/>
  <c r="ICC53" i="7" s="1"/>
  <c r="ICD53" i="7" s="1"/>
  <c r="ICE53" i="7" s="1"/>
  <c r="ICF53" i="7" s="1"/>
  <c r="ICG53" i="7" s="1"/>
  <c r="ICH53" i="7" s="1"/>
  <c r="ICI53" i="7" s="1"/>
  <c r="ICJ53" i="7" s="1"/>
  <c r="ICK53" i="7" s="1"/>
  <c r="ICL53" i="7" s="1"/>
  <c r="ICM53" i="7" s="1"/>
  <c r="ICN53" i="7" s="1"/>
  <c r="ICO53" i="7" s="1"/>
  <c r="ICP53" i="7" s="1"/>
  <c r="ICQ53" i="7" s="1"/>
  <c r="ICR53" i="7" s="1"/>
  <c r="ICS53" i="7" s="1"/>
  <c r="ICT53" i="7" s="1"/>
  <c r="ICU53" i="7" s="1"/>
  <c r="ICV53" i="7" s="1"/>
  <c r="ICW53" i="7" s="1"/>
  <c r="ICX53" i="7" s="1"/>
  <c r="ICY53" i="7" s="1"/>
  <c r="ICZ53" i="7" s="1"/>
  <c r="IDA53" i="7" s="1"/>
  <c r="IDB53" i="7" s="1"/>
  <c r="IDC53" i="7" s="1"/>
  <c r="IDD53" i="7" s="1"/>
  <c r="IDE53" i="7" s="1"/>
  <c r="IDF53" i="7" s="1"/>
  <c r="IDG53" i="7" s="1"/>
  <c r="IDH53" i="7" s="1"/>
  <c r="IDI53" i="7" s="1"/>
  <c r="IDJ53" i="7" s="1"/>
  <c r="IDK53" i="7" s="1"/>
  <c r="IDL53" i="7" s="1"/>
  <c r="IDM53" i="7" s="1"/>
  <c r="IDN53" i="7" s="1"/>
  <c r="IDO53" i="7" s="1"/>
  <c r="IDP53" i="7" s="1"/>
  <c r="IDQ53" i="7" s="1"/>
  <c r="IDR53" i="7" s="1"/>
  <c r="IDS53" i="7" s="1"/>
  <c r="IDT53" i="7" s="1"/>
  <c r="IDU53" i="7" s="1"/>
  <c r="IDV53" i="7" s="1"/>
  <c r="IDW53" i="7" s="1"/>
  <c r="IDX53" i="7" s="1"/>
  <c r="IDY53" i="7" s="1"/>
  <c r="IDZ53" i="7" s="1"/>
  <c r="IEA53" i="7" s="1"/>
  <c r="IEB53" i="7" s="1"/>
  <c r="IEC53" i="7" s="1"/>
  <c r="IED53" i="7" s="1"/>
  <c r="IEE53" i="7" s="1"/>
  <c r="IEF53" i="7" s="1"/>
  <c r="IEG53" i="7" s="1"/>
  <c r="IEH53" i="7" s="1"/>
  <c r="IEI53" i="7" s="1"/>
  <c r="IEJ53" i="7" s="1"/>
  <c r="IEK53" i="7" s="1"/>
  <c r="IEL53" i="7" s="1"/>
  <c r="IEM53" i="7" s="1"/>
  <c r="IEN53" i="7" s="1"/>
  <c r="IEO53" i="7" s="1"/>
  <c r="IEP53" i="7" s="1"/>
  <c r="IEQ53" i="7" s="1"/>
  <c r="IER53" i="7" s="1"/>
  <c r="IES53" i="7" s="1"/>
  <c r="IET53" i="7" s="1"/>
  <c r="IEU53" i="7" s="1"/>
  <c r="IEV53" i="7" s="1"/>
  <c r="IEW53" i="7" s="1"/>
  <c r="IEX53" i="7" s="1"/>
  <c r="IEY53" i="7" s="1"/>
  <c r="IEZ53" i="7" s="1"/>
  <c r="IFA53" i="7" s="1"/>
  <c r="IFB53" i="7" s="1"/>
  <c r="IFC53" i="7" s="1"/>
  <c r="IFD53" i="7" s="1"/>
  <c r="IFE53" i="7" s="1"/>
  <c r="IFF53" i="7" s="1"/>
  <c r="IFG53" i="7" s="1"/>
  <c r="IFH53" i="7" s="1"/>
  <c r="IFI53" i="7" s="1"/>
  <c r="IFJ53" i="7" s="1"/>
  <c r="IFK53" i="7" s="1"/>
  <c r="IFL53" i="7" s="1"/>
  <c r="IFM53" i="7" s="1"/>
  <c r="IFN53" i="7" s="1"/>
  <c r="IFO53" i="7" s="1"/>
  <c r="IFP53" i="7" s="1"/>
  <c r="IFQ53" i="7" s="1"/>
  <c r="IFR53" i="7" s="1"/>
  <c r="IFS53" i="7" s="1"/>
  <c r="IFT53" i="7" s="1"/>
  <c r="IFU53" i="7" s="1"/>
  <c r="IFV53" i="7" s="1"/>
  <c r="IFW53" i="7" s="1"/>
  <c r="IFX53" i="7" s="1"/>
  <c r="IFY53" i="7" s="1"/>
  <c r="IFZ53" i="7" s="1"/>
  <c r="IGA53" i="7" s="1"/>
  <c r="IGB53" i="7" s="1"/>
  <c r="IGC53" i="7" s="1"/>
  <c r="IGD53" i="7" s="1"/>
  <c r="IGE53" i="7" s="1"/>
  <c r="IGF53" i="7" s="1"/>
  <c r="IGG53" i="7" s="1"/>
  <c r="IGH53" i="7" s="1"/>
  <c r="IGI53" i="7" s="1"/>
  <c r="IGJ53" i="7" s="1"/>
  <c r="IGK53" i="7" s="1"/>
  <c r="IGL53" i="7" s="1"/>
  <c r="IGM53" i="7" s="1"/>
  <c r="IGN53" i="7" s="1"/>
  <c r="IGO53" i="7" s="1"/>
  <c r="IGP53" i="7" s="1"/>
  <c r="IGQ53" i="7" s="1"/>
  <c r="IGR53" i="7" s="1"/>
  <c r="IGS53" i="7" s="1"/>
  <c r="IGT53" i="7" s="1"/>
  <c r="IGU53" i="7" s="1"/>
  <c r="IGV53" i="7" s="1"/>
  <c r="IGW53" i="7" s="1"/>
  <c r="IGX53" i="7" s="1"/>
  <c r="IGY53" i="7" s="1"/>
  <c r="IGZ53" i="7" s="1"/>
  <c r="IHA53" i="7" s="1"/>
  <c r="IHB53" i="7" s="1"/>
  <c r="IHC53" i="7" s="1"/>
  <c r="IHD53" i="7" s="1"/>
  <c r="IHE53" i="7" s="1"/>
  <c r="IHF53" i="7" s="1"/>
  <c r="IHG53" i="7" s="1"/>
  <c r="IHH53" i="7" s="1"/>
  <c r="IHI53" i="7" s="1"/>
  <c r="IHJ53" i="7" s="1"/>
  <c r="IHK53" i="7" s="1"/>
  <c r="IHL53" i="7" s="1"/>
  <c r="IHM53" i="7" s="1"/>
  <c r="IHN53" i="7" s="1"/>
  <c r="IHO53" i="7" s="1"/>
  <c r="IHP53" i="7" s="1"/>
  <c r="IHQ53" i="7" s="1"/>
  <c r="IHR53" i="7" s="1"/>
  <c r="IHS53" i="7" s="1"/>
  <c r="IHT53" i="7" s="1"/>
  <c r="IHU53" i="7" s="1"/>
  <c r="IHV53" i="7" s="1"/>
  <c r="IHW53" i="7" s="1"/>
  <c r="IHX53" i="7" s="1"/>
  <c r="IHY53" i="7" s="1"/>
  <c r="IHZ53" i="7" s="1"/>
  <c r="IIA53" i="7" s="1"/>
  <c r="IIB53" i="7" s="1"/>
  <c r="IIC53" i="7" s="1"/>
  <c r="IID53" i="7" s="1"/>
  <c r="IIE53" i="7" s="1"/>
  <c r="IIF53" i="7" s="1"/>
  <c r="IIG53" i="7" s="1"/>
  <c r="IIH53" i="7" s="1"/>
  <c r="III53" i="7" s="1"/>
  <c r="IIJ53" i="7" s="1"/>
  <c r="IIK53" i="7" s="1"/>
  <c r="IIL53" i="7" s="1"/>
  <c r="IIM53" i="7" s="1"/>
  <c r="IIN53" i="7" s="1"/>
  <c r="IIO53" i="7" s="1"/>
  <c r="IIP53" i="7" s="1"/>
  <c r="IIQ53" i="7" s="1"/>
  <c r="IIR53" i="7" s="1"/>
  <c r="IIS53" i="7" s="1"/>
  <c r="IIT53" i="7" s="1"/>
  <c r="IIU53" i="7" s="1"/>
  <c r="IIV53" i="7" s="1"/>
  <c r="IIW53" i="7" s="1"/>
  <c r="IIX53" i="7" s="1"/>
  <c r="IIY53" i="7" s="1"/>
  <c r="IIZ53" i="7" s="1"/>
  <c r="IJA53" i="7" s="1"/>
  <c r="IJB53" i="7" s="1"/>
  <c r="IJC53" i="7" s="1"/>
  <c r="IJD53" i="7" s="1"/>
  <c r="IJE53" i="7" s="1"/>
  <c r="IJF53" i="7" s="1"/>
  <c r="IJG53" i="7" s="1"/>
  <c r="IJH53" i="7" s="1"/>
  <c r="IJI53" i="7" s="1"/>
  <c r="IJJ53" i="7" s="1"/>
  <c r="IJK53" i="7" s="1"/>
  <c r="IJL53" i="7" s="1"/>
  <c r="IJM53" i="7" s="1"/>
  <c r="IJN53" i="7" s="1"/>
  <c r="IJO53" i="7" s="1"/>
  <c r="IJP53" i="7" s="1"/>
  <c r="IJQ53" i="7" s="1"/>
  <c r="IJR53" i="7" s="1"/>
  <c r="IJS53" i="7" s="1"/>
  <c r="IJT53" i="7" s="1"/>
  <c r="IJU53" i="7" s="1"/>
  <c r="IJV53" i="7" s="1"/>
  <c r="IJW53" i="7" s="1"/>
  <c r="IJX53" i="7" s="1"/>
  <c r="IJY53" i="7" s="1"/>
  <c r="IJZ53" i="7" s="1"/>
  <c r="IKA53" i="7" s="1"/>
  <c r="IKB53" i="7" s="1"/>
  <c r="IKC53" i="7" s="1"/>
  <c r="IKD53" i="7" s="1"/>
  <c r="IKE53" i="7" s="1"/>
  <c r="IKF53" i="7" s="1"/>
  <c r="IKG53" i="7" s="1"/>
  <c r="IKH53" i="7" s="1"/>
  <c r="IKI53" i="7" s="1"/>
  <c r="IKJ53" i="7" s="1"/>
  <c r="IKK53" i="7" s="1"/>
  <c r="IKL53" i="7" s="1"/>
  <c r="IKM53" i="7" s="1"/>
  <c r="IKN53" i="7" s="1"/>
  <c r="IKO53" i="7" s="1"/>
  <c r="IKP53" i="7" s="1"/>
  <c r="IKQ53" i="7" s="1"/>
  <c r="IKR53" i="7" s="1"/>
  <c r="IKS53" i="7" s="1"/>
  <c r="IKT53" i="7" s="1"/>
  <c r="IKU53" i="7" s="1"/>
  <c r="IKV53" i="7" s="1"/>
  <c r="IKW53" i="7" s="1"/>
  <c r="IKX53" i="7" s="1"/>
  <c r="IKY53" i="7" s="1"/>
  <c r="IKZ53" i="7" s="1"/>
  <c r="ILA53" i="7" s="1"/>
  <c r="ILB53" i="7" s="1"/>
  <c r="ILC53" i="7" s="1"/>
  <c r="ILD53" i="7" s="1"/>
  <c r="ILE53" i="7" s="1"/>
  <c r="ILF53" i="7" s="1"/>
  <c r="ILG53" i="7" s="1"/>
  <c r="ILH53" i="7" s="1"/>
  <c r="ILI53" i="7" s="1"/>
  <c r="ILJ53" i="7" s="1"/>
  <c r="ILK53" i="7" s="1"/>
  <c r="ILL53" i="7" s="1"/>
  <c r="ILM53" i="7" s="1"/>
  <c r="ILN53" i="7" s="1"/>
  <c r="ILO53" i="7" s="1"/>
  <c r="ILP53" i="7" s="1"/>
  <c r="ILQ53" i="7" s="1"/>
  <c r="ILR53" i="7" s="1"/>
  <c r="ILS53" i="7" s="1"/>
  <c r="ILT53" i="7" s="1"/>
  <c r="ILU53" i="7" s="1"/>
  <c r="ILV53" i="7" s="1"/>
  <c r="ILW53" i="7" s="1"/>
  <c r="ILX53" i="7" s="1"/>
  <c r="ILY53" i="7" s="1"/>
  <c r="ILZ53" i="7" s="1"/>
  <c r="IMA53" i="7" s="1"/>
  <c r="IMB53" i="7" s="1"/>
  <c r="IMC53" i="7" s="1"/>
  <c r="IMD53" i="7" s="1"/>
  <c r="IME53" i="7" s="1"/>
  <c r="IMF53" i="7" s="1"/>
  <c r="IMG53" i="7" s="1"/>
  <c r="IMH53" i="7" s="1"/>
  <c r="IMI53" i="7" s="1"/>
  <c r="IMJ53" i="7" s="1"/>
  <c r="IMK53" i="7" s="1"/>
  <c r="IML53" i="7" s="1"/>
  <c r="IMM53" i="7" s="1"/>
  <c r="IMN53" i="7" s="1"/>
  <c r="IMO53" i="7" s="1"/>
  <c r="IMP53" i="7" s="1"/>
  <c r="IMQ53" i="7" s="1"/>
  <c r="IMR53" i="7" s="1"/>
  <c r="IMS53" i="7" s="1"/>
  <c r="IMT53" i="7" s="1"/>
  <c r="IMU53" i="7" s="1"/>
  <c r="IMV53" i="7" s="1"/>
  <c r="IMW53" i="7" s="1"/>
  <c r="IMX53" i="7" s="1"/>
  <c r="IMY53" i="7" s="1"/>
  <c r="IMZ53" i="7" s="1"/>
  <c r="INA53" i="7" s="1"/>
  <c r="INB53" i="7" s="1"/>
  <c r="INC53" i="7" s="1"/>
  <c r="IND53" i="7" s="1"/>
  <c r="INE53" i="7" s="1"/>
  <c r="INF53" i="7" s="1"/>
  <c r="ING53" i="7" s="1"/>
  <c r="INH53" i="7" s="1"/>
  <c r="INI53" i="7" s="1"/>
  <c r="INJ53" i="7" s="1"/>
  <c r="INK53" i="7" s="1"/>
  <c r="INL53" i="7" s="1"/>
  <c r="INM53" i="7" s="1"/>
  <c r="INN53" i="7" s="1"/>
  <c r="INO53" i="7" s="1"/>
  <c r="INP53" i="7" s="1"/>
  <c r="INQ53" i="7" s="1"/>
  <c r="INR53" i="7" s="1"/>
  <c r="INS53" i="7" s="1"/>
  <c r="INT53" i="7" s="1"/>
  <c r="INU53" i="7" s="1"/>
  <c r="INV53" i="7" s="1"/>
  <c r="INW53" i="7" s="1"/>
  <c r="INX53" i="7" s="1"/>
  <c r="INY53" i="7" s="1"/>
  <c r="INZ53" i="7" s="1"/>
  <c r="IOA53" i="7" s="1"/>
  <c r="IOB53" i="7" s="1"/>
  <c r="IOC53" i="7" s="1"/>
  <c r="IOD53" i="7" s="1"/>
  <c r="IOE53" i="7" s="1"/>
  <c r="IOF53" i="7" s="1"/>
  <c r="IOG53" i="7" s="1"/>
  <c r="IOH53" i="7" s="1"/>
  <c r="IOI53" i="7" s="1"/>
  <c r="IOJ53" i="7" s="1"/>
  <c r="IOK53" i="7" s="1"/>
  <c r="IOL53" i="7" s="1"/>
  <c r="IOM53" i="7" s="1"/>
  <c r="ION53" i="7" s="1"/>
  <c r="IOO53" i="7" s="1"/>
  <c r="IOP53" i="7" s="1"/>
  <c r="IOQ53" i="7" s="1"/>
  <c r="IOR53" i="7" s="1"/>
  <c r="IOS53" i="7" s="1"/>
  <c r="IOT53" i="7" s="1"/>
  <c r="IOU53" i="7" s="1"/>
  <c r="IOV53" i="7" s="1"/>
  <c r="IOW53" i="7" s="1"/>
  <c r="IOX53" i="7" s="1"/>
  <c r="IOY53" i="7" s="1"/>
  <c r="IOZ53" i="7" s="1"/>
  <c r="IPA53" i="7" s="1"/>
  <c r="IPB53" i="7" s="1"/>
  <c r="IPC53" i="7" s="1"/>
  <c r="IPD53" i="7" s="1"/>
  <c r="IPE53" i="7" s="1"/>
  <c r="IPF53" i="7" s="1"/>
  <c r="IPG53" i="7" s="1"/>
  <c r="IPH53" i="7" s="1"/>
  <c r="IPI53" i="7" s="1"/>
  <c r="IPJ53" i="7" s="1"/>
  <c r="IPK53" i="7" s="1"/>
  <c r="IPL53" i="7" s="1"/>
  <c r="IPM53" i="7" s="1"/>
  <c r="IPN53" i="7" s="1"/>
  <c r="IPO53" i="7" s="1"/>
  <c r="IPP53" i="7" s="1"/>
  <c r="IPQ53" i="7" s="1"/>
  <c r="IPR53" i="7" s="1"/>
  <c r="IPS53" i="7" s="1"/>
  <c r="IPT53" i="7" s="1"/>
  <c r="IPU53" i="7" s="1"/>
  <c r="IPV53" i="7" s="1"/>
  <c r="IPW53" i="7" s="1"/>
  <c r="IPX53" i="7" s="1"/>
  <c r="IPY53" i="7" s="1"/>
  <c r="IPZ53" i="7" s="1"/>
  <c r="IQA53" i="7" s="1"/>
  <c r="IQB53" i="7" s="1"/>
  <c r="IQC53" i="7" s="1"/>
  <c r="IQD53" i="7" s="1"/>
  <c r="IQE53" i="7" s="1"/>
  <c r="IQF53" i="7" s="1"/>
  <c r="IQG53" i="7" s="1"/>
  <c r="IQH53" i="7" s="1"/>
  <c r="IQI53" i="7" s="1"/>
  <c r="IQJ53" i="7" s="1"/>
  <c r="IQK53" i="7" s="1"/>
  <c r="IQL53" i="7" s="1"/>
  <c r="IQM53" i="7" s="1"/>
  <c r="IQN53" i="7" s="1"/>
  <c r="IQO53" i="7" s="1"/>
  <c r="IQP53" i="7" s="1"/>
  <c r="IQQ53" i="7" s="1"/>
  <c r="IQR53" i="7" s="1"/>
  <c r="IQS53" i="7" s="1"/>
  <c r="IQT53" i="7" s="1"/>
  <c r="IQU53" i="7" s="1"/>
  <c r="IQV53" i="7" s="1"/>
  <c r="IQW53" i="7" s="1"/>
  <c r="IQX53" i="7" s="1"/>
  <c r="IQY53" i="7" s="1"/>
  <c r="IQZ53" i="7" s="1"/>
  <c r="IRA53" i="7" s="1"/>
  <c r="IRB53" i="7" s="1"/>
  <c r="IRC53" i="7" s="1"/>
  <c r="IRD53" i="7" s="1"/>
  <c r="IRE53" i="7" s="1"/>
  <c r="IRF53" i="7" s="1"/>
  <c r="IRG53" i="7" s="1"/>
  <c r="IRH53" i="7" s="1"/>
  <c r="IRI53" i="7" s="1"/>
  <c r="IRJ53" i="7" s="1"/>
  <c r="IRK53" i="7" s="1"/>
  <c r="IRL53" i="7" s="1"/>
  <c r="IRM53" i="7" s="1"/>
  <c r="IRN53" i="7" s="1"/>
  <c r="IRO53" i="7" s="1"/>
  <c r="IRP53" i="7" s="1"/>
  <c r="IRQ53" i="7" s="1"/>
  <c r="IRR53" i="7" s="1"/>
  <c r="IRS53" i="7" s="1"/>
  <c r="IRT53" i="7" s="1"/>
  <c r="IRU53" i="7" s="1"/>
  <c r="IRV53" i="7" s="1"/>
  <c r="IRW53" i="7" s="1"/>
  <c r="IRX53" i="7" s="1"/>
  <c r="IRY53" i="7" s="1"/>
  <c r="IRZ53" i="7" s="1"/>
  <c r="ISA53" i="7" s="1"/>
  <c r="ISB53" i="7" s="1"/>
  <c r="ISC53" i="7" s="1"/>
  <c r="ISD53" i="7" s="1"/>
  <c r="ISE53" i="7" s="1"/>
  <c r="ISF53" i="7" s="1"/>
  <c r="ISG53" i="7" s="1"/>
  <c r="ISH53" i="7" s="1"/>
  <c r="ISI53" i="7" s="1"/>
  <c r="ISJ53" i="7" s="1"/>
  <c r="ISK53" i="7" s="1"/>
  <c r="ISL53" i="7" s="1"/>
  <c r="ISM53" i="7" s="1"/>
  <c r="ISN53" i="7" s="1"/>
  <c r="ISO53" i="7" s="1"/>
  <c r="ISP53" i="7" s="1"/>
  <c r="ISQ53" i="7" s="1"/>
  <c r="ISR53" i="7" s="1"/>
  <c r="ISS53" i="7" s="1"/>
  <c r="IST53" i="7" s="1"/>
  <c r="ISU53" i="7" s="1"/>
  <c r="ISV53" i="7" s="1"/>
  <c r="ISW53" i="7" s="1"/>
  <c r="ISX53" i="7" s="1"/>
  <c r="ISY53" i="7" s="1"/>
  <c r="ISZ53" i="7" s="1"/>
  <c r="ITA53" i="7" s="1"/>
  <c r="ITB53" i="7" s="1"/>
  <c r="ITC53" i="7" s="1"/>
  <c r="ITD53" i="7" s="1"/>
  <c r="ITE53" i="7" s="1"/>
  <c r="ITF53" i="7" s="1"/>
  <c r="ITG53" i="7" s="1"/>
  <c r="ITH53" i="7" s="1"/>
  <c r="ITI53" i="7" s="1"/>
  <c r="ITJ53" i="7" s="1"/>
  <c r="ITK53" i="7" s="1"/>
  <c r="ITL53" i="7" s="1"/>
  <c r="ITM53" i="7" s="1"/>
  <c r="ITN53" i="7" s="1"/>
  <c r="ITO53" i="7" s="1"/>
  <c r="ITP53" i="7" s="1"/>
  <c r="ITQ53" i="7" s="1"/>
  <c r="ITR53" i="7" s="1"/>
  <c r="ITS53" i="7" s="1"/>
  <c r="ITT53" i="7" s="1"/>
  <c r="ITU53" i="7" s="1"/>
  <c r="ITV53" i="7" s="1"/>
  <c r="ITW53" i="7" s="1"/>
  <c r="ITX53" i="7" s="1"/>
  <c r="ITY53" i="7" s="1"/>
  <c r="ITZ53" i="7" s="1"/>
  <c r="IUA53" i="7" s="1"/>
  <c r="IUB53" i="7" s="1"/>
  <c r="IUC53" i="7" s="1"/>
  <c r="IUD53" i="7" s="1"/>
  <c r="IUE53" i="7" s="1"/>
  <c r="IUF53" i="7" s="1"/>
  <c r="IUG53" i="7" s="1"/>
  <c r="IUH53" i="7" s="1"/>
  <c r="IUI53" i="7" s="1"/>
  <c r="IUJ53" i="7" s="1"/>
  <c r="IUK53" i="7" s="1"/>
  <c r="IUL53" i="7" s="1"/>
  <c r="IUM53" i="7" s="1"/>
  <c r="IUN53" i="7" s="1"/>
  <c r="IUO53" i="7" s="1"/>
  <c r="IUP53" i="7" s="1"/>
  <c r="IUQ53" i="7" s="1"/>
  <c r="IUR53" i="7" s="1"/>
  <c r="IUS53" i="7" s="1"/>
  <c r="IUT53" i="7" s="1"/>
  <c r="IUU53" i="7" s="1"/>
  <c r="IUV53" i="7" s="1"/>
  <c r="IUW53" i="7" s="1"/>
  <c r="IUX53" i="7" s="1"/>
  <c r="IUY53" i="7" s="1"/>
  <c r="IUZ53" i="7" s="1"/>
  <c r="IVA53" i="7" s="1"/>
  <c r="IVB53" i="7" s="1"/>
  <c r="IVC53" i="7" s="1"/>
  <c r="IVD53" i="7" s="1"/>
  <c r="IVE53" i="7" s="1"/>
  <c r="IVF53" i="7" s="1"/>
  <c r="IVG53" i="7" s="1"/>
  <c r="IVH53" i="7" s="1"/>
  <c r="IVI53" i="7" s="1"/>
  <c r="IVJ53" i="7" s="1"/>
  <c r="IVK53" i="7" s="1"/>
  <c r="IVL53" i="7" s="1"/>
  <c r="IVM53" i="7" s="1"/>
  <c r="IVN53" i="7" s="1"/>
  <c r="IVO53" i="7" s="1"/>
  <c r="IVP53" i="7" s="1"/>
  <c r="IVQ53" i="7" s="1"/>
  <c r="IVR53" i="7" s="1"/>
  <c r="IVS53" i="7" s="1"/>
  <c r="IVT53" i="7" s="1"/>
  <c r="IVU53" i="7" s="1"/>
  <c r="IVV53" i="7" s="1"/>
  <c r="IVW53" i="7" s="1"/>
  <c r="IVX53" i="7" s="1"/>
  <c r="IVY53" i="7" s="1"/>
  <c r="IVZ53" i="7" s="1"/>
  <c r="IWA53" i="7" s="1"/>
  <c r="IWB53" i="7" s="1"/>
  <c r="IWC53" i="7" s="1"/>
  <c r="IWD53" i="7" s="1"/>
  <c r="IWE53" i="7" s="1"/>
  <c r="IWF53" i="7" s="1"/>
  <c r="IWG53" i="7" s="1"/>
  <c r="IWH53" i="7" s="1"/>
  <c r="IWI53" i="7" s="1"/>
  <c r="IWJ53" i="7" s="1"/>
  <c r="IWK53" i="7" s="1"/>
  <c r="IWL53" i="7" s="1"/>
  <c r="IWM53" i="7" s="1"/>
  <c r="IWN53" i="7" s="1"/>
  <c r="IWO53" i="7" s="1"/>
  <c r="IWP53" i="7" s="1"/>
  <c r="IWQ53" i="7" s="1"/>
  <c r="IWR53" i="7" s="1"/>
  <c r="IWS53" i="7" s="1"/>
  <c r="IWT53" i="7" s="1"/>
  <c r="IWU53" i="7" s="1"/>
  <c r="IWV53" i="7" s="1"/>
  <c r="IWW53" i="7" s="1"/>
  <c r="IWX53" i="7" s="1"/>
  <c r="IWY53" i="7" s="1"/>
  <c r="IWZ53" i="7" s="1"/>
  <c r="IXA53" i="7" s="1"/>
  <c r="IXB53" i="7" s="1"/>
  <c r="IXC53" i="7" s="1"/>
  <c r="IXD53" i="7" s="1"/>
  <c r="IXE53" i="7" s="1"/>
  <c r="IXF53" i="7" s="1"/>
  <c r="IXG53" i="7" s="1"/>
  <c r="IXH53" i="7" s="1"/>
  <c r="IXI53" i="7" s="1"/>
  <c r="IXJ53" i="7" s="1"/>
  <c r="IXK53" i="7" s="1"/>
  <c r="IXL53" i="7" s="1"/>
  <c r="IXM53" i="7" s="1"/>
  <c r="IXN53" i="7" s="1"/>
  <c r="IXO53" i="7" s="1"/>
  <c r="IXP53" i="7" s="1"/>
  <c r="IXQ53" i="7" s="1"/>
  <c r="IXR53" i="7" s="1"/>
  <c r="IXS53" i="7" s="1"/>
  <c r="IXT53" i="7" s="1"/>
  <c r="IXU53" i="7" s="1"/>
  <c r="IXV53" i="7" s="1"/>
  <c r="IXW53" i="7" s="1"/>
  <c r="IXX53" i="7" s="1"/>
  <c r="IXY53" i="7" s="1"/>
  <c r="IXZ53" i="7" s="1"/>
  <c r="IYA53" i="7" s="1"/>
  <c r="IYB53" i="7" s="1"/>
  <c r="IYC53" i="7" s="1"/>
  <c r="IYD53" i="7" s="1"/>
  <c r="IYE53" i="7" s="1"/>
  <c r="IYF53" i="7" s="1"/>
  <c r="IYG53" i="7" s="1"/>
  <c r="IYH53" i="7" s="1"/>
  <c r="IYI53" i="7" s="1"/>
  <c r="IYJ53" i="7" s="1"/>
  <c r="IYK53" i="7" s="1"/>
  <c r="IYL53" i="7" s="1"/>
  <c r="IYM53" i="7" s="1"/>
  <c r="IYN53" i="7" s="1"/>
  <c r="IYO53" i="7" s="1"/>
  <c r="IYP53" i="7" s="1"/>
  <c r="IYQ53" i="7" s="1"/>
  <c r="IYR53" i="7" s="1"/>
  <c r="IYS53" i="7" s="1"/>
  <c r="IYT53" i="7" s="1"/>
  <c r="IYU53" i="7" s="1"/>
  <c r="IYV53" i="7" s="1"/>
  <c r="IYW53" i="7" s="1"/>
  <c r="IYX53" i="7" s="1"/>
  <c r="IYY53" i="7" s="1"/>
  <c r="IYZ53" i="7" s="1"/>
  <c r="IZA53" i="7" s="1"/>
  <c r="IZB53" i="7" s="1"/>
  <c r="IZC53" i="7" s="1"/>
  <c r="IZD53" i="7" s="1"/>
  <c r="IZE53" i="7" s="1"/>
  <c r="IZF53" i="7" s="1"/>
  <c r="IZG53" i="7" s="1"/>
  <c r="IZH53" i="7" s="1"/>
  <c r="IZI53" i="7" s="1"/>
  <c r="IZJ53" i="7" s="1"/>
  <c r="IZK53" i="7" s="1"/>
  <c r="IZL53" i="7" s="1"/>
  <c r="IZM53" i="7" s="1"/>
  <c r="IZN53" i="7" s="1"/>
  <c r="IZO53" i="7" s="1"/>
  <c r="IZP53" i="7" s="1"/>
  <c r="IZQ53" i="7" s="1"/>
  <c r="IZR53" i="7" s="1"/>
  <c r="IZS53" i="7" s="1"/>
  <c r="IZT53" i="7" s="1"/>
  <c r="IZU53" i="7" s="1"/>
  <c r="IZV53" i="7" s="1"/>
  <c r="IZW53" i="7" s="1"/>
  <c r="IZX53" i="7" s="1"/>
  <c r="IZY53" i="7" s="1"/>
  <c r="IZZ53" i="7" s="1"/>
  <c r="JAA53" i="7" s="1"/>
  <c r="JAB53" i="7" s="1"/>
  <c r="JAC53" i="7" s="1"/>
  <c r="JAD53" i="7" s="1"/>
  <c r="JAE53" i="7" s="1"/>
  <c r="JAF53" i="7" s="1"/>
  <c r="JAG53" i="7" s="1"/>
  <c r="JAH53" i="7" s="1"/>
  <c r="JAI53" i="7" s="1"/>
  <c r="JAJ53" i="7" s="1"/>
  <c r="JAK53" i="7" s="1"/>
  <c r="JAL53" i="7" s="1"/>
  <c r="JAM53" i="7" s="1"/>
  <c r="JAN53" i="7" s="1"/>
  <c r="JAO53" i="7" s="1"/>
  <c r="JAP53" i="7" s="1"/>
  <c r="JAQ53" i="7" s="1"/>
  <c r="JAR53" i="7" s="1"/>
  <c r="JAS53" i="7" s="1"/>
  <c r="JAT53" i="7" s="1"/>
  <c r="JAU53" i="7" s="1"/>
  <c r="JAV53" i="7" s="1"/>
  <c r="JAW53" i="7" s="1"/>
  <c r="JAX53" i="7" s="1"/>
  <c r="JAY53" i="7" s="1"/>
  <c r="JAZ53" i="7" s="1"/>
  <c r="JBA53" i="7" s="1"/>
  <c r="JBB53" i="7" s="1"/>
  <c r="JBC53" i="7" s="1"/>
  <c r="JBD53" i="7" s="1"/>
  <c r="JBE53" i="7" s="1"/>
  <c r="JBF53" i="7" s="1"/>
  <c r="JBG53" i="7" s="1"/>
  <c r="JBH53" i="7" s="1"/>
  <c r="JBI53" i="7" s="1"/>
  <c r="JBJ53" i="7" s="1"/>
  <c r="JBK53" i="7" s="1"/>
  <c r="JBL53" i="7" s="1"/>
  <c r="JBM53" i="7" s="1"/>
  <c r="JBN53" i="7" s="1"/>
  <c r="JBO53" i="7" s="1"/>
  <c r="JBP53" i="7" s="1"/>
  <c r="JBQ53" i="7" s="1"/>
  <c r="JBR53" i="7" s="1"/>
  <c r="JBS53" i="7" s="1"/>
  <c r="JBT53" i="7" s="1"/>
  <c r="JBU53" i="7" s="1"/>
  <c r="JBV53" i="7" s="1"/>
  <c r="JBW53" i="7" s="1"/>
  <c r="JBX53" i="7" s="1"/>
  <c r="JBY53" i="7" s="1"/>
  <c r="JBZ53" i="7" s="1"/>
  <c r="JCA53" i="7" s="1"/>
  <c r="JCB53" i="7" s="1"/>
  <c r="JCC53" i="7" s="1"/>
  <c r="JCD53" i="7" s="1"/>
  <c r="JCE53" i="7" s="1"/>
  <c r="JCF53" i="7" s="1"/>
  <c r="JCG53" i="7" s="1"/>
  <c r="JCH53" i="7" s="1"/>
  <c r="JCI53" i="7" s="1"/>
  <c r="JCJ53" i="7" s="1"/>
  <c r="JCK53" i="7" s="1"/>
  <c r="JCL53" i="7" s="1"/>
  <c r="JCM53" i="7" s="1"/>
  <c r="JCN53" i="7" s="1"/>
  <c r="JCO53" i="7" s="1"/>
  <c r="JCP53" i="7" s="1"/>
  <c r="JCQ53" i="7" s="1"/>
  <c r="JCR53" i="7" s="1"/>
  <c r="JCS53" i="7" s="1"/>
  <c r="JCT53" i="7" s="1"/>
  <c r="JCU53" i="7" s="1"/>
  <c r="JCV53" i="7" s="1"/>
  <c r="JCW53" i="7" s="1"/>
  <c r="JCX53" i="7" s="1"/>
  <c r="JCY53" i="7" s="1"/>
  <c r="JCZ53" i="7" s="1"/>
  <c r="JDA53" i="7" s="1"/>
  <c r="JDB53" i="7" s="1"/>
  <c r="JDC53" i="7" s="1"/>
  <c r="JDD53" i="7" s="1"/>
  <c r="JDE53" i="7" s="1"/>
  <c r="JDF53" i="7" s="1"/>
  <c r="JDG53" i="7" s="1"/>
  <c r="JDH53" i="7" s="1"/>
  <c r="JDI53" i="7" s="1"/>
  <c r="JDJ53" i="7" s="1"/>
  <c r="JDK53" i="7" s="1"/>
  <c r="JDL53" i="7" s="1"/>
  <c r="JDM53" i="7" s="1"/>
  <c r="JDN53" i="7" s="1"/>
  <c r="JDO53" i="7" s="1"/>
  <c r="JDP53" i="7" s="1"/>
  <c r="JDQ53" i="7" s="1"/>
  <c r="JDR53" i="7" s="1"/>
  <c r="JDS53" i="7" s="1"/>
  <c r="JDT53" i="7" s="1"/>
  <c r="JDU53" i="7" s="1"/>
  <c r="JDV53" i="7" s="1"/>
  <c r="JDW53" i="7" s="1"/>
  <c r="JDX53" i="7" s="1"/>
  <c r="JDY53" i="7" s="1"/>
  <c r="JDZ53" i="7" s="1"/>
  <c r="JEA53" i="7" s="1"/>
  <c r="JEB53" i="7" s="1"/>
  <c r="JEC53" i="7" s="1"/>
  <c r="JED53" i="7" s="1"/>
  <c r="JEE53" i="7" s="1"/>
  <c r="JEF53" i="7" s="1"/>
  <c r="JEG53" i="7" s="1"/>
  <c r="JEH53" i="7" s="1"/>
  <c r="JEI53" i="7" s="1"/>
  <c r="JEJ53" i="7" s="1"/>
  <c r="JEK53" i="7" s="1"/>
  <c r="JEL53" i="7" s="1"/>
  <c r="JEM53" i="7" s="1"/>
  <c r="JEN53" i="7" s="1"/>
  <c r="JEO53" i="7" s="1"/>
  <c r="JEP53" i="7" s="1"/>
  <c r="JEQ53" i="7" s="1"/>
  <c r="JER53" i="7" s="1"/>
  <c r="JES53" i="7" s="1"/>
  <c r="JET53" i="7" s="1"/>
  <c r="JEU53" i="7" s="1"/>
  <c r="JEV53" i="7" s="1"/>
  <c r="JEW53" i="7" s="1"/>
  <c r="JEX53" i="7" s="1"/>
  <c r="JEY53" i="7" s="1"/>
  <c r="JEZ53" i="7" s="1"/>
  <c r="JFA53" i="7" s="1"/>
  <c r="JFB53" i="7" s="1"/>
  <c r="JFC53" i="7" s="1"/>
  <c r="JFD53" i="7" s="1"/>
  <c r="JFE53" i="7" s="1"/>
  <c r="JFF53" i="7" s="1"/>
  <c r="JFG53" i="7" s="1"/>
  <c r="JFH53" i="7" s="1"/>
  <c r="JFI53" i="7" s="1"/>
  <c r="JFJ53" i="7" s="1"/>
  <c r="JFK53" i="7" s="1"/>
  <c r="JFL53" i="7" s="1"/>
  <c r="JFM53" i="7" s="1"/>
  <c r="JFN53" i="7" s="1"/>
  <c r="JFO53" i="7" s="1"/>
  <c r="JFP53" i="7" s="1"/>
  <c r="JFQ53" i="7" s="1"/>
  <c r="JFR53" i="7" s="1"/>
  <c r="JFS53" i="7" s="1"/>
  <c r="JFT53" i="7" s="1"/>
  <c r="JFU53" i="7" s="1"/>
  <c r="JFV53" i="7" s="1"/>
  <c r="JFW53" i="7" s="1"/>
  <c r="JFX53" i="7" s="1"/>
  <c r="JFY53" i="7" s="1"/>
  <c r="JFZ53" i="7" s="1"/>
  <c r="JGA53" i="7" s="1"/>
  <c r="JGB53" i="7" s="1"/>
  <c r="JGC53" i="7" s="1"/>
  <c r="JGD53" i="7" s="1"/>
  <c r="JGE53" i="7" s="1"/>
  <c r="JGF53" i="7" s="1"/>
  <c r="JGG53" i="7" s="1"/>
  <c r="JGH53" i="7" s="1"/>
  <c r="JGI53" i="7" s="1"/>
  <c r="JGJ53" i="7" s="1"/>
  <c r="JGK53" i="7" s="1"/>
  <c r="JGL53" i="7" s="1"/>
  <c r="JGM53" i="7" s="1"/>
  <c r="JGN53" i="7" s="1"/>
  <c r="JGO53" i="7" s="1"/>
  <c r="JGP53" i="7" s="1"/>
  <c r="JGQ53" i="7" s="1"/>
  <c r="JGR53" i="7" s="1"/>
  <c r="JGS53" i="7" s="1"/>
  <c r="JGT53" i="7" s="1"/>
  <c r="JGU53" i="7" s="1"/>
  <c r="JGV53" i="7" s="1"/>
  <c r="JGW53" i="7" s="1"/>
  <c r="JGX53" i="7" s="1"/>
  <c r="JGY53" i="7" s="1"/>
  <c r="JGZ53" i="7" s="1"/>
  <c r="JHA53" i="7" s="1"/>
  <c r="JHB53" i="7" s="1"/>
  <c r="JHC53" i="7" s="1"/>
  <c r="JHD53" i="7" s="1"/>
  <c r="JHE53" i="7" s="1"/>
  <c r="JHF53" i="7" s="1"/>
  <c r="JHG53" i="7" s="1"/>
  <c r="JHH53" i="7" s="1"/>
  <c r="JHI53" i="7" s="1"/>
  <c r="JHJ53" i="7" s="1"/>
  <c r="JHK53" i="7" s="1"/>
  <c r="JHL53" i="7" s="1"/>
  <c r="JHM53" i="7" s="1"/>
  <c r="JHN53" i="7" s="1"/>
  <c r="JHO53" i="7" s="1"/>
  <c r="JHP53" i="7" s="1"/>
  <c r="JHQ53" i="7" s="1"/>
  <c r="JHR53" i="7" s="1"/>
  <c r="JHS53" i="7" s="1"/>
  <c r="JHT53" i="7" s="1"/>
  <c r="JHU53" i="7" s="1"/>
  <c r="JHV53" i="7" s="1"/>
  <c r="JHW53" i="7" s="1"/>
  <c r="JHX53" i="7" s="1"/>
  <c r="JHY53" i="7" s="1"/>
  <c r="JHZ53" i="7" s="1"/>
  <c r="JIA53" i="7" s="1"/>
  <c r="JIB53" i="7" s="1"/>
  <c r="JIC53" i="7" s="1"/>
  <c r="JID53" i="7" s="1"/>
  <c r="JIE53" i="7" s="1"/>
  <c r="JIF53" i="7" s="1"/>
  <c r="JIG53" i="7" s="1"/>
  <c r="JIH53" i="7" s="1"/>
  <c r="JII53" i="7" s="1"/>
  <c r="JIJ53" i="7" s="1"/>
  <c r="JIK53" i="7" s="1"/>
  <c r="JIL53" i="7" s="1"/>
  <c r="JIM53" i="7" s="1"/>
  <c r="JIN53" i="7" s="1"/>
  <c r="JIO53" i="7" s="1"/>
  <c r="JIP53" i="7" s="1"/>
  <c r="JIQ53" i="7" s="1"/>
  <c r="JIR53" i="7" s="1"/>
  <c r="JIS53" i="7" s="1"/>
  <c r="JIT53" i="7" s="1"/>
  <c r="JIU53" i="7" s="1"/>
  <c r="JIV53" i="7" s="1"/>
  <c r="JIW53" i="7" s="1"/>
  <c r="JIX53" i="7" s="1"/>
  <c r="JIY53" i="7" s="1"/>
  <c r="JIZ53" i="7" s="1"/>
  <c r="JJA53" i="7" s="1"/>
  <c r="JJB53" i="7" s="1"/>
  <c r="JJC53" i="7" s="1"/>
  <c r="JJD53" i="7" s="1"/>
  <c r="JJE53" i="7" s="1"/>
  <c r="JJF53" i="7" s="1"/>
  <c r="JJG53" i="7" s="1"/>
  <c r="JJH53" i="7" s="1"/>
  <c r="JJI53" i="7" s="1"/>
  <c r="JJJ53" i="7" s="1"/>
  <c r="JJK53" i="7" s="1"/>
  <c r="JJL53" i="7" s="1"/>
  <c r="JJM53" i="7" s="1"/>
  <c r="JJN53" i="7" s="1"/>
  <c r="JJO53" i="7" s="1"/>
  <c r="JJP53" i="7" s="1"/>
  <c r="JJQ53" i="7" s="1"/>
  <c r="JJR53" i="7" s="1"/>
  <c r="JJS53" i="7" s="1"/>
  <c r="JJT53" i="7" s="1"/>
  <c r="JJU53" i="7" s="1"/>
  <c r="JJV53" i="7" s="1"/>
  <c r="JJW53" i="7" s="1"/>
  <c r="JJX53" i="7" s="1"/>
  <c r="JJY53" i="7" s="1"/>
  <c r="JJZ53" i="7" s="1"/>
  <c r="JKA53" i="7" s="1"/>
  <c r="JKB53" i="7" s="1"/>
  <c r="JKC53" i="7" s="1"/>
  <c r="JKD53" i="7" s="1"/>
  <c r="JKE53" i="7" s="1"/>
  <c r="JKF53" i="7" s="1"/>
  <c r="JKG53" i="7" s="1"/>
  <c r="JKH53" i="7" s="1"/>
  <c r="JKI53" i="7" s="1"/>
  <c r="JKJ53" i="7" s="1"/>
  <c r="JKK53" i="7" s="1"/>
  <c r="JKL53" i="7" s="1"/>
  <c r="JKM53" i="7" s="1"/>
  <c r="JKN53" i="7" s="1"/>
  <c r="JKO53" i="7" s="1"/>
  <c r="JKP53" i="7" s="1"/>
  <c r="JKQ53" i="7" s="1"/>
  <c r="JKR53" i="7" s="1"/>
  <c r="JKS53" i="7" s="1"/>
  <c r="JKT53" i="7" s="1"/>
  <c r="JKU53" i="7" s="1"/>
  <c r="JKV53" i="7" s="1"/>
  <c r="JKW53" i="7" s="1"/>
  <c r="JKX53" i="7" s="1"/>
  <c r="JKY53" i="7" s="1"/>
  <c r="JKZ53" i="7" s="1"/>
  <c r="JLA53" i="7" s="1"/>
  <c r="JLB53" i="7" s="1"/>
  <c r="JLC53" i="7" s="1"/>
  <c r="JLD53" i="7" s="1"/>
  <c r="JLE53" i="7" s="1"/>
  <c r="JLF53" i="7" s="1"/>
  <c r="JLG53" i="7" s="1"/>
  <c r="JLH53" i="7" s="1"/>
  <c r="JLI53" i="7" s="1"/>
  <c r="JLJ53" i="7" s="1"/>
  <c r="JLK53" i="7" s="1"/>
  <c r="JLL53" i="7" s="1"/>
  <c r="JLM53" i="7" s="1"/>
  <c r="JLN53" i="7" s="1"/>
  <c r="JLO53" i="7" s="1"/>
  <c r="JLP53" i="7" s="1"/>
  <c r="JLQ53" i="7" s="1"/>
  <c r="JLR53" i="7" s="1"/>
  <c r="JLS53" i="7" s="1"/>
  <c r="JLT53" i="7" s="1"/>
  <c r="JLU53" i="7" s="1"/>
  <c r="JLV53" i="7" s="1"/>
  <c r="JLW53" i="7" s="1"/>
  <c r="JLX53" i="7" s="1"/>
  <c r="JLY53" i="7" s="1"/>
  <c r="JLZ53" i="7" s="1"/>
  <c r="JMA53" i="7" s="1"/>
  <c r="JMB53" i="7" s="1"/>
  <c r="JMC53" i="7" s="1"/>
  <c r="JMD53" i="7" s="1"/>
  <c r="JME53" i="7" s="1"/>
  <c r="JMF53" i="7" s="1"/>
  <c r="JMG53" i="7" s="1"/>
  <c r="JMH53" i="7" s="1"/>
  <c r="JMI53" i="7" s="1"/>
  <c r="JMJ53" i="7" s="1"/>
  <c r="JMK53" i="7" s="1"/>
  <c r="JML53" i="7" s="1"/>
  <c r="JMM53" i="7" s="1"/>
  <c r="JMN53" i="7" s="1"/>
  <c r="JMO53" i="7" s="1"/>
  <c r="JMP53" i="7" s="1"/>
  <c r="JMQ53" i="7" s="1"/>
  <c r="JMR53" i="7" s="1"/>
  <c r="JMS53" i="7" s="1"/>
  <c r="JMT53" i="7" s="1"/>
  <c r="JMU53" i="7" s="1"/>
  <c r="JMV53" i="7" s="1"/>
  <c r="JMW53" i="7" s="1"/>
  <c r="JMX53" i="7" s="1"/>
  <c r="JMY53" i="7" s="1"/>
  <c r="JMZ53" i="7" s="1"/>
  <c r="JNA53" i="7" s="1"/>
  <c r="JNB53" i="7" s="1"/>
  <c r="JNC53" i="7" s="1"/>
  <c r="JND53" i="7" s="1"/>
  <c r="JNE53" i="7" s="1"/>
  <c r="JNF53" i="7" s="1"/>
  <c r="JNG53" i="7" s="1"/>
  <c r="JNH53" i="7" s="1"/>
  <c r="JNI53" i="7" s="1"/>
  <c r="JNJ53" i="7" s="1"/>
  <c r="JNK53" i="7" s="1"/>
  <c r="JNL53" i="7" s="1"/>
  <c r="JNM53" i="7" s="1"/>
  <c r="JNN53" i="7" s="1"/>
  <c r="JNO53" i="7" s="1"/>
  <c r="JNP53" i="7" s="1"/>
  <c r="JNQ53" i="7" s="1"/>
  <c r="JNR53" i="7" s="1"/>
  <c r="JNS53" i="7" s="1"/>
  <c r="JNT53" i="7" s="1"/>
  <c r="JNU53" i="7" s="1"/>
  <c r="JNV53" i="7" s="1"/>
  <c r="JNW53" i="7" s="1"/>
  <c r="JNX53" i="7" s="1"/>
  <c r="JNY53" i="7" s="1"/>
  <c r="JNZ53" i="7" s="1"/>
  <c r="JOA53" i="7" s="1"/>
  <c r="JOB53" i="7" s="1"/>
  <c r="JOC53" i="7" s="1"/>
  <c r="JOD53" i="7" s="1"/>
  <c r="JOE53" i="7" s="1"/>
  <c r="JOF53" i="7" s="1"/>
  <c r="JOG53" i="7" s="1"/>
  <c r="JOH53" i="7" s="1"/>
  <c r="JOI53" i="7" s="1"/>
  <c r="JOJ53" i="7" s="1"/>
  <c r="JOK53" i="7" s="1"/>
  <c r="JOL53" i="7" s="1"/>
  <c r="JOM53" i="7" s="1"/>
  <c r="JON53" i="7" s="1"/>
  <c r="JOO53" i="7" s="1"/>
  <c r="JOP53" i="7" s="1"/>
  <c r="JOQ53" i="7" s="1"/>
  <c r="JOR53" i="7" s="1"/>
  <c r="JOS53" i="7" s="1"/>
  <c r="JOT53" i="7" s="1"/>
  <c r="JOU53" i="7" s="1"/>
  <c r="JOV53" i="7" s="1"/>
  <c r="JOW53" i="7" s="1"/>
  <c r="JOX53" i="7" s="1"/>
  <c r="JOY53" i="7" s="1"/>
  <c r="JOZ53" i="7" s="1"/>
  <c r="JPA53" i="7" s="1"/>
  <c r="JPB53" i="7" s="1"/>
  <c r="JPC53" i="7" s="1"/>
  <c r="JPD53" i="7" s="1"/>
  <c r="JPE53" i="7" s="1"/>
  <c r="JPF53" i="7" s="1"/>
  <c r="JPG53" i="7" s="1"/>
  <c r="JPH53" i="7" s="1"/>
  <c r="JPI53" i="7" s="1"/>
  <c r="JPJ53" i="7" s="1"/>
  <c r="JPK53" i="7" s="1"/>
  <c r="JPL53" i="7" s="1"/>
  <c r="JPM53" i="7" s="1"/>
  <c r="JPN53" i="7" s="1"/>
  <c r="JPO53" i="7" s="1"/>
  <c r="JPP53" i="7" s="1"/>
  <c r="JPQ53" i="7" s="1"/>
  <c r="JPR53" i="7" s="1"/>
  <c r="JPS53" i="7" s="1"/>
  <c r="JPT53" i="7" s="1"/>
  <c r="JPU53" i="7" s="1"/>
  <c r="JPV53" i="7" s="1"/>
  <c r="JPW53" i="7" s="1"/>
  <c r="JPX53" i="7" s="1"/>
  <c r="JPY53" i="7" s="1"/>
  <c r="JPZ53" i="7" s="1"/>
  <c r="JQA53" i="7" s="1"/>
  <c r="JQB53" i="7" s="1"/>
  <c r="JQC53" i="7" s="1"/>
  <c r="JQD53" i="7" s="1"/>
  <c r="JQE53" i="7" s="1"/>
  <c r="JQF53" i="7" s="1"/>
  <c r="JQG53" i="7" s="1"/>
  <c r="JQH53" i="7" s="1"/>
  <c r="JQI53" i="7" s="1"/>
  <c r="JQJ53" i="7" s="1"/>
  <c r="JQK53" i="7" s="1"/>
  <c r="JQL53" i="7" s="1"/>
  <c r="JQM53" i="7" s="1"/>
  <c r="JQN53" i="7" s="1"/>
  <c r="JQO53" i="7" s="1"/>
  <c r="JQP53" i="7" s="1"/>
  <c r="JQQ53" i="7" s="1"/>
  <c r="JQR53" i="7" s="1"/>
  <c r="JQS53" i="7" s="1"/>
  <c r="JQT53" i="7" s="1"/>
  <c r="JQU53" i="7" s="1"/>
  <c r="JQV53" i="7" s="1"/>
  <c r="JQW53" i="7" s="1"/>
  <c r="JQX53" i="7" s="1"/>
  <c r="JQY53" i="7" s="1"/>
  <c r="JQZ53" i="7" s="1"/>
  <c r="JRA53" i="7" s="1"/>
  <c r="JRB53" i="7" s="1"/>
  <c r="JRC53" i="7" s="1"/>
  <c r="JRD53" i="7" s="1"/>
  <c r="JRE53" i="7" s="1"/>
  <c r="JRF53" i="7" s="1"/>
  <c r="JRG53" i="7" s="1"/>
  <c r="JRH53" i="7" s="1"/>
  <c r="JRI53" i="7" s="1"/>
  <c r="JRJ53" i="7" s="1"/>
  <c r="JRK53" i="7" s="1"/>
  <c r="JRL53" i="7" s="1"/>
  <c r="JRM53" i="7" s="1"/>
  <c r="JRN53" i="7" s="1"/>
  <c r="JRO53" i="7" s="1"/>
  <c r="JRP53" i="7" s="1"/>
  <c r="JRQ53" i="7" s="1"/>
  <c r="JRR53" i="7" s="1"/>
  <c r="JRS53" i="7" s="1"/>
  <c r="JRT53" i="7" s="1"/>
  <c r="JRU53" i="7" s="1"/>
  <c r="JRV53" i="7" s="1"/>
  <c r="JRW53" i="7" s="1"/>
  <c r="JRX53" i="7" s="1"/>
  <c r="JRY53" i="7" s="1"/>
  <c r="JRZ53" i="7" s="1"/>
  <c r="JSA53" i="7" s="1"/>
  <c r="JSB53" i="7" s="1"/>
  <c r="JSC53" i="7" s="1"/>
  <c r="JSD53" i="7" s="1"/>
  <c r="JSE53" i="7" s="1"/>
  <c r="JSF53" i="7" s="1"/>
  <c r="JSG53" i="7" s="1"/>
  <c r="JSH53" i="7" s="1"/>
  <c r="JSI53" i="7" s="1"/>
  <c r="JSJ53" i="7" s="1"/>
  <c r="JSK53" i="7" s="1"/>
  <c r="JSL53" i="7" s="1"/>
  <c r="JSM53" i="7" s="1"/>
  <c r="JSN53" i="7" s="1"/>
  <c r="JSO53" i="7" s="1"/>
  <c r="JSP53" i="7" s="1"/>
  <c r="JSQ53" i="7" s="1"/>
  <c r="JSR53" i="7" s="1"/>
  <c r="JSS53" i="7" s="1"/>
  <c r="JST53" i="7" s="1"/>
  <c r="JSU53" i="7" s="1"/>
  <c r="JSV53" i="7" s="1"/>
  <c r="JSW53" i="7" s="1"/>
  <c r="JSX53" i="7" s="1"/>
  <c r="JSY53" i="7" s="1"/>
  <c r="JSZ53" i="7" s="1"/>
  <c r="JTA53" i="7" s="1"/>
  <c r="JTB53" i="7" s="1"/>
  <c r="JTC53" i="7" s="1"/>
  <c r="JTD53" i="7" s="1"/>
  <c r="JTE53" i="7" s="1"/>
  <c r="JTF53" i="7" s="1"/>
  <c r="JTG53" i="7" s="1"/>
  <c r="JTH53" i="7" s="1"/>
  <c r="JTI53" i="7" s="1"/>
  <c r="JTJ53" i="7" s="1"/>
  <c r="JTK53" i="7" s="1"/>
  <c r="JTL53" i="7" s="1"/>
  <c r="JTM53" i="7" s="1"/>
  <c r="JTN53" i="7" s="1"/>
  <c r="JTO53" i="7" s="1"/>
  <c r="JTP53" i="7" s="1"/>
  <c r="JTQ53" i="7" s="1"/>
  <c r="JTR53" i="7" s="1"/>
  <c r="JTS53" i="7" s="1"/>
  <c r="JTT53" i="7" s="1"/>
  <c r="JTU53" i="7" s="1"/>
  <c r="JTV53" i="7" s="1"/>
  <c r="JTW53" i="7" s="1"/>
  <c r="JTX53" i="7" s="1"/>
  <c r="JTY53" i="7" s="1"/>
  <c r="JTZ53" i="7" s="1"/>
  <c r="JUA53" i="7" s="1"/>
  <c r="JUB53" i="7" s="1"/>
  <c r="JUC53" i="7" s="1"/>
  <c r="JUD53" i="7" s="1"/>
  <c r="JUE53" i="7" s="1"/>
  <c r="JUF53" i="7" s="1"/>
  <c r="JUG53" i="7" s="1"/>
  <c r="JUH53" i="7" s="1"/>
  <c r="JUI53" i="7" s="1"/>
  <c r="JUJ53" i="7" s="1"/>
  <c r="JUK53" i="7" s="1"/>
  <c r="JUL53" i="7" s="1"/>
  <c r="JUM53" i="7" s="1"/>
  <c r="JUN53" i="7" s="1"/>
  <c r="JUO53" i="7" s="1"/>
  <c r="JUP53" i="7" s="1"/>
  <c r="JUQ53" i="7" s="1"/>
  <c r="JUR53" i="7" s="1"/>
  <c r="JUS53" i="7" s="1"/>
  <c r="JUT53" i="7" s="1"/>
  <c r="JUU53" i="7" s="1"/>
  <c r="JUV53" i="7" s="1"/>
  <c r="JUW53" i="7" s="1"/>
  <c r="JUX53" i="7" s="1"/>
  <c r="JUY53" i="7" s="1"/>
  <c r="JUZ53" i="7" s="1"/>
  <c r="JVA53" i="7" s="1"/>
  <c r="JVB53" i="7" s="1"/>
  <c r="JVC53" i="7" s="1"/>
  <c r="JVD53" i="7" s="1"/>
  <c r="JVE53" i="7" s="1"/>
  <c r="JVF53" i="7" s="1"/>
  <c r="JVG53" i="7" s="1"/>
  <c r="JVH53" i="7" s="1"/>
  <c r="JVI53" i="7" s="1"/>
  <c r="JVJ53" i="7" s="1"/>
  <c r="JVK53" i="7" s="1"/>
  <c r="JVL53" i="7" s="1"/>
  <c r="JVM53" i="7" s="1"/>
  <c r="JVN53" i="7" s="1"/>
  <c r="JVO53" i="7" s="1"/>
  <c r="JVP53" i="7" s="1"/>
  <c r="JVQ53" i="7" s="1"/>
  <c r="JVR53" i="7" s="1"/>
  <c r="JVS53" i="7" s="1"/>
  <c r="JVT53" i="7" s="1"/>
  <c r="JVU53" i="7" s="1"/>
  <c r="JVV53" i="7" s="1"/>
  <c r="JVW53" i="7" s="1"/>
  <c r="JVX53" i="7" s="1"/>
  <c r="JVY53" i="7" s="1"/>
  <c r="JVZ53" i="7" s="1"/>
  <c r="JWA53" i="7" s="1"/>
  <c r="JWB53" i="7" s="1"/>
  <c r="JWC53" i="7" s="1"/>
  <c r="JWD53" i="7" s="1"/>
  <c r="JWE53" i="7" s="1"/>
  <c r="JWF53" i="7" s="1"/>
  <c r="JWG53" i="7" s="1"/>
  <c r="JWH53" i="7" s="1"/>
  <c r="JWI53" i="7" s="1"/>
  <c r="JWJ53" i="7" s="1"/>
  <c r="JWK53" i="7" s="1"/>
  <c r="JWL53" i="7" s="1"/>
  <c r="JWM53" i="7" s="1"/>
  <c r="JWN53" i="7" s="1"/>
  <c r="JWO53" i="7" s="1"/>
  <c r="JWP53" i="7" s="1"/>
  <c r="JWQ53" i="7" s="1"/>
  <c r="JWR53" i="7" s="1"/>
  <c r="JWS53" i="7" s="1"/>
  <c r="JWT53" i="7" s="1"/>
  <c r="JWU53" i="7" s="1"/>
  <c r="JWV53" i="7" s="1"/>
  <c r="JWW53" i="7" s="1"/>
  <c r="JWX53" i="7" s="1"/>
  <c r="JWY53" i="7" s="1"/>
  <c r="JWZ53" i="7" s="1"/>
  <c r="JXA53" i="7" s="1"/>
  <c r="JXB53" i="7" s="1"/>
  <c r="JXC53" i="7" s="1"/>
  <c r="JXD53" i="7" s="1"/>
  <c r="JXE53" i="7" s="1"/>
  <c r="JXF53" i="7" s="1"/>
  <c r="JXG53" i="7" s="1"/>
  <c r="JXH53" i="7" s="1"/>
  <c r="JXI53" i="7" s="1"/>
  <c r="JXJ53" i="7" s="1"/>
  <c r="JXK53" i="7" s="1"/>
  <c r="JXL53" i="7" s="1"/>
  <c r="JXM53" i="7" s="1"/>
  <c r="JXN53" i="7" s="1"/>
  <c r="JXO53" i="7" s="1"/>
  <c r="JXP53" i="7" s="1"/>
  <c r="JXQ53" i="7" s="1"/>
  <c r="JXR53" i="7" s="1"/>
  <c r="JXS53" i="7" s="1"/>
  <c r="JXT53" i="7" s="1"/>
  <c r="JXU53" i="7" s="1"/>
  <c r="JXV53" i="7" s="1"/>
  <c r="JXW53" i="7" s="1"/>
  <c r="JXX53" i="7" s="1"/>
  <c r="JXY53" i="7" s="1"/>
  <c r="JXZ53" i="7" s="1"/>
  <c r="JYA53" i="7" s="1"/>
  <c r="JYB53" i="7" s="1"/>
  <c r="JYC53" i="7" s="1"/>
  <c r="JYD53" i="7" s="1"/>
  <c r="JYE53" i="7" s="1"/>
  <c r="JYF53" i="7" s="1"/>
  <c r="JYG53" i="7" s="1"/>
  <c r="JYH53" i="7" s="1"/>
  <c r="JYI53" i="7" s="1"/>
  <c r="JYJ53" i="7" s="1"/>
  <c r="JYK53" i="7" s="1"/>
  <c r="JYL53" i="7" s="1"/>
  <c r="JYM53" i="7" s="1"/>
  <c r="JYN53" i="7" s="1"/>
  <c r="JYO53" i="7" s="1"/>
  <c r="JYP53" i="7" s="1"/>
  <c r="JYQ53" i="7" s="1"/>
  <c r="JYR53" i="7" s="1"/>
  <c r="JYS53" i="7" s="1"/>
  <c r="JYT53" i="7" s="1"/>
  <c r="JYU53" i="7" s="1"/>
  <c r="JYV53" i="7" s="1"/>
  <c r="JYW53" i="7" s="1"/>
  <c r="JYX53" i="7" s="1"/>
  <c r="JYY53" i="7" s="1"/>
  <c r="JYZ53" i="7" s="1"/>
  <c r="JZA53" i="7" s="1"/>
  <c r="JZB53" i="7" s="1"/>
  <c r="JZC53" i="7" s="1"/>
  <c r="JZD53" i="7" s="1"/>
  <c r="JZE53" i="7" s="1"/>
  <c r="JZF53" i="7" s="1"/>
  <c r="JZG53" i="7" s="1"/>
  <c r="JZH53" i="7" s="1"/>
  <c r="JZI53" i="7" s="1"/>
  <c r="JZJ53" i="7" s="1"/>
  <c r="JZK53" i="7" s="1"/>
  <c r="JZL53" i="7" s="1"/>
  <c r="JZM53" i="7" s="1"/>
  <c r="JZN53" i="7" s="1"/>
  <c r="JZO53" i="7" s="1"/>
  <c r="JZP53" i="7" s="1"/>
  <c r="JZQ53" i="7" s="1"/>
  <c r="JZR53" i="7" s="1"/>
  <c r="JZS53" i="7" s="1"/>
  <c r="JZT53" i="7" s="1"/>
  <c r="JZU53" i="7" s="1"/>
  <c r="JZV53" i="7" s="1"/>
  <c r="JZW53" i="7" s="1"/>
  <c r="JZX53" i="7" s="1"/>
  <c r="JZY53" i="7" s="1"/>
  <c r="JZZ53" i="7" s="1"/>
  <c r="KAA53" i="7" s="1"/>
  <c r="KAB53" i="7" s="1"/>
  <c r="KAC53" i="7" s="1"/>
  <c r="KAD53" i="7" s="1"/>
  <c r="KAE53" i="7" s="1"/>
  <c r="KAF53" i="7" s="1"/>
  <c r="KAG53" i="7" s="1"/>
  <c r="KAH53" i="7" s="1"/>
  <c r="KAI53" i="7" s="1"/>
  <c r="KAJ53" i="7" s="1"/>
  <c r="KAK53" i="7" s="1"/>
  <c r="KAL53" i="7" s="1"/>
  <c r="KAM53" i="7" s="1"/>
  <c r="KAN53" i="7" s="1"/>
  <c r="KAO53" i="7" s="1"/>
  <c r="KAP53" i="7" s="1"/>
  <c r="KAQ53" i="7" s="1"/>
  <c r="KAR53" i="7" s="1"/>
  <c r="KAS53" i="7" s="1"/>
  <c r="KAT53" i="7" s="1"/>
  <c r="KAU53" i="7" s="1"/>
  <c r="KAV53" i="7" s="1"/>
  <c r="KAW53" i="7" s="1"/>
  <c r="KAX53" i="7" s="1"/>
  <c r="KAY53" i="7" s="1"/>
  <c r="KAZ53" i="7" s="1"/>
  <c r="KBA53" i="7" s="1"/>
  <c r="KBB53" i="7" s="1"/>
  <c r="KBC53" i="7" s="1"/>
  <c r="KBD53" i="7" s="1"/>
  <c r="KBE53" i="7" s="1"/>
  <c r="KBF53" i="7" s="1"/>
  <c r="KBG53" i="7" s="1"/>
  <c r="KBH53" i="7" s="1"/>
  <c r="KBI53" i="7" s="1"/>
  <c r="KBJ53" i="7" s="1"/>
  <c r="KBK53" i="7" s="1"/>
  <c r="KBL53" i="7" s="1"/>
  <c r="KBM53" i="7" s="1"/>
  <c r="KBN53" i="7" s="1"/>
  <c r="KBO53" i="7" s="1"/>
  <c r="KBP53" i="7" s="1"/>
  <c r="KBQ53" i="7" s="1"/>
  <c r="KBR53" i="7" s="1"/>
  <c r="KBS53" i="7" s="1"/>
  <c r="KBT53" i="7" s="1"/>
  <c r="KBU53" i="7" s="1"/>
  <c r="KBV53" i="7" s="1"/>
  <c r="KBW53" i="7" s="1"/>
  <c r="KBX53" i="7" s="1"/>
  <c r="KBY53" i="7" s="1"/>
  <c r="KBZ53" i="7" s="1"/>
  <c r="KCA53" i="7" s="1"/>
  <c r="KCB53" i="7" s="1"/>
  <c r="KCC53" i="7" s="1"/>
  <c r="KCD53" i="7" s="1"/>
  <c r="KCE53" i="7" s="1"/>
  <c r="KCF53" i="7" s="1"/>
  <c r="KCG53" i="7" s="1"/>
  <c r="KCH53" i="7" s="1"/>
  <c r="KCI53" i="7" s="1"/>
  <c r="KCJ53" i="7" s="1"/>
  <c r="KCK53" i="7" s="1"/>
  <c r="KCL53" i="7" s="1"/>
  <c r="KCM53" i="7" s="1"/>
  <c r="KCN53" i="7" s="1"/>
  <c r="KCO53" i="7" s="1"/>
  <c r="KCP53" i="7" s="1"/>
  <c r="KCQ53" i="7" s="1"/>
  <c r="KCR53" i="7" s="1"/>
  <c r="KCS53" i="7" s="1"/>
  <c r="KCT53" i="7" s="1"/>
  <c r="KCU53" i="7" s="1"/>
  <c r="KCV53" i="7" s="1"/>
  <c r="KCW53" i="7" s="1"/>
  <c r="KCX53" i="7" s="1"/>
  <c r="KCY53" i="7" s="1"/>
  <c r="KCZ53" i="7" s="1"/>
  <c r="KDA53" i="7" s="1"/>
  <c r="KDB53" i="7" s="1"/>
  <c r="KDC53" i="7" s="1"/>
  <c r="KDD53" i="7" s="1"/>
  <c r="KDE53" i="7" s="1"/>
  <c r="KDF53" i="7" s="1"/>
  <c r="KDG53" i="7" s="1"/>
  <c r="KDH53" i="7" s="1"/>
  <c r="KDI53" i="7" s="1"/>
  <c r="KDJ53" i="7" s="1"/>
  <c r="KDK53" i="7" s="1"/>
  <c r="KDL53" i="7" s="1"/>
  <c r="KDM53" i="7" s="1"/>
  <c r="KDN53" i="7" s="1"/>
  <c r="KDO53" i="7" s="1"/>
  <c r="KDP53" i="7" s="1"/>
  <c r="KDQ53" i="7" s="1"/>
  <c r="KDR53" i="7" s="1"/>
  <c r="KDS53" i="7" s="1"/>
  <c r="KDT53" i="7" s="1"/>
  <c r="KDU53" i="7" s="1"/>
  <c r="KDV53" i="7" s="1"/>
  <c r="KDW53" i="7" s="1"/>
  <c r="KDX53" i="7" s="1"/>
  <c r="KDY53" i="7" s="1"/>
  <c r="KDZ53" i="7" s="1"/>
  <c r="KEA53" i="7" s="1"/>
  <c r="KEB53" i="7" s="1"/>
  <c r="KEC53" i="7" s="1"/>
  <c r="KED53" i="7" s="1"/>
  <c r="KEE53" i="7" s="1"/>
  <c r="KEF53" i="7" s="1"/>
  <c r="KEG53" i="7" s="1"/>
  <c r="KEH53" i="7" s="1"/>
  <c r="KEI53" i="7" s="1"/>
  <c r="KEJ53" i="7" s="1"/>
  <c r="KEK53" i="7" s="1"/>
  <c r="KEL53" i="7" s="1"/>
  <c r="KEM53" i="7" s="1"/>
  <c r="KEN53" i="7" s="1"/>
  <c r="KEO53" i="7" s="1"/>
  <c r="KEP53" i="7" s="1"/>
  <c r="KEQ53" i="7" s="1"/>
  <c r="KER53" i="7" s="1"/>
  <c r="KES53" i="7" s="1"/>
  <c r="KET53" i="7" s="1"/>
  <c r="KEU53" i="7" s="1"/>
  <c r="KEV53" i="7" s="1"/>
  <c r="KEW53" i="7" s="1"/>
  <c r="KEX53" i="7" s="1"/>
  <c r="KEY53" i="7" s="1"/>
  <c r="KEZ53" i="7" s="1"/>
  <c r="KFA53" i="7" s="1"/>
  <c r="KFB53" i="7" s="1"/>
  <c r="KFC53" i="7" s="1"/>
  <c r="KFD53" i="7" s="1"/>
  <c r="KFE53" i="7" s="1"/>
  <c r="KFF53" i="7" s="1"/>
  <c r="KFG53" i="7" s="1"/>
  <c r="KFH53" i="7" s="1"/>
  <c r="KFI53" i="7" s="1"/>
  <c r="KFJ53" i="7" s="1"/>
  <c r="KFK53" i="7" s="1"/>
  <c r="KFL53" i="7" s="1"/>
  <c r="KFM53" i="7" s="1"/>
  <c r="KFN53" i="7" s="1"/>
  <c r="KFO53" i="7" s="1"/>
  <c r="KFP53" i="7" s="1"/>
  <c r="KFQ53" i="7" s="1"/>
  <c r="KFR53" i="7" s="1"/>
  <c r="KFS53" i="7" s="1"/>
  <c r="KFT53" i="7" s="1"/>
  <c r="KFU53" i="7" s="1"/>
  <c r="KFV53" i="7" s="1"/>
  <c r="KFW53" i="7" s="1"/>
  <c r="KFX53" i="7" s="1"/>
  <c r="KFY53" i="7" s="1"/>
  <c r="KFZ53" i="7" s="1"/>
  <c r="KGA53" i="7" s="1"/>
  <c r="KGB53" i="7" s="1"/>
  <c r="KGC53" i="7" s="1"/>
  <c r="KGD53" i="7" s="1"/>
  <c r="KGE53" i="7" s="1"/>
  <c r="KGF53" i="7" s="1"/>
  <c r="KGG53" i="7" s="1"/>
  <c r="KGH53" i="7" s="1"/>
  <c r="KGI53" i="7" s="1"/>
  <c r="KGJ53" i="7" s="1"/>
  <c r="KGK53" i="7" s="1"/>
  <c r="KGL53" i="7" s="1"/>
  <c r="KGM53" i="7" s="1"/>
  <c r="KGN53" i="7" s="1"/>
  <c r="KGO53" i="7" s="1"/>
  <c r="KGP53" i="7" s="1"/>
  <c r="KGQ53" i="7" s="1"/>
  <c r="KGR53" i="7" s="1"/>
  <c r="KGS53" i="7" s="1"/>
  <c r="KGT53" i="7" s="1"/>
  <c r="KGU53" i="7" s="1"/>
  <c r="KGV53" i="7" s="1"/>
  <c r="KGW53" i="7" s="1"/>
  <c r="KGX53" i="7" s="1"/>
  <c r="KGY53" i="7" s="1"/>
  <c r="KGZ53" i="7" s="1"/>
  <c r="KHA53" i="7" s="1"/>
  <c r="KHB53" i="7" s="1"/>
  <c r="KHC53" i="7" s="1"/>
  <c r="KHD53" i="7" s="1"/>
  <c r="KHE53" i="7" s="1"/>
  <c r="KHF53" i="7" s="1"/>
  <c r="KHG53" i="7" s="1"/>
  <c r="KHH53" i="7" s="1"/>
  <c r="KHI53" i="7" s="1"/>
  <c r="KHJ53" i="7" s="1"/>
  <c r="KHK53" i="7" s="1"/>
  <c r="KHL53" i="7" s="1"/>
  <c r="KHM53" i="7" s="1"/>
  <c r="KHN53" i="7" s="1"/>
  <c r="KHO53" i="7" s="1"/>
  <c r="KHP53" i="7" s="1"/>
  <c r="KHQ53" i="7" s="1"/>
  <c r="KHR53" i="7" s="1"/>
  <c r="KHS53" i="7" s="1"/>
  <c r="KHT53" i="7" s="1"/>
  <c r="KHU53" i="7" s="1"/>
  <c r="KHV53" i="7" s="1"/>
  <c r="KHW53" i="7" s="1"/>
  <c r="KHX53" i="7" s="1"/>
  <c r="KHY53" i="7" s="1"/>
  <c r="KHZ53" i="7" s="1"/>
  <c r="KIA53" i="7" s="1"/>
  <c r="KIB53" i="7" s="1"/>
  <c r="KIC53" i="7" s="1"/>
  <c r="KID53" i="7" s="1"/>
  <c r="KIE53" i="7" s="1"/>
  <c r="KIF53" i="7" s="1"/>
  <c r="KIG53" i="7" s="1"/>
  <c r="KIH53" i="7" s="1"/>
  <c r="KII53" i="7" s="1"/>
  <c r="KIJ53" i="7" s="1"/>
  <c r="KIK53" i="7" s="1"/>
  <c r="KIL53" i="7" s="1"/>
  <c r="KIM53" i="7" s="1"/>
  <c r="KIN53" i="7" s="1"/>
  <c r="KIO53" i="7" s="1"/>
  <c r="KIP53" i="7" s="1"/>
  <c r="KIQ53" i="7" s="1"/>
  <c r="KIR53" i="7" s="1"/>
  <c r="KIS53" i="7" s="1"/>
  <c r="KIT53" i="7" s="1"/>
  <c r="KIU53" i="7" s="1"/>
  <c r="KIV53" i="7" s="1"/>
  <c r="KIW53" i="7" s="1"/>
  <c r="KIX53" i="7" s="1"/>
  <c r="KIY53" i="7" s="1"/>
  <c r="KIZ53" i="7" s="1"/>
  <c r="KJA53" i="7" s="1"/>
  <c r="KJB53" i="7" s="1"/>
  <c r="KJC53" i="7" s="1"/>
  <c r="KJD53" i="7" s="1"/>
  <c r="KJE53" i="7" s="1"/>
  <c r="KJF53" i="7" s="1"/>
  <c r="KJG53" i="7" s="1"/>
  <c r="KJH53" i="7" s="1"/>
  <c r="KJI53" i="7" s="1"/>
  <c r="KJJ53" i="7" s="1"/>
  <c r="KJK53" i="7" s="1"/>
  <c r="KJL53" i="7" s="1"/>
  <c r="KJM53" i="7" s="1"/>
  <c r="KJN53" i="7" s="1"/>
  <c r="KJO53" i="7" s="1"/>
  <c r="KJP53" i="7" s="1"/>
  <c r="KJQ53" i="7" s="1"/>
  <c r="KJR53" i="7" s="1"/>
  <c r="KJS53" i="7" s="1"/>
  <c r="KJT53" i="7" s="1"/>
  <c r="KJU53" i="7" s="1"/>
  <c r="KJV53" i="7" s="1"/>
  <c r="KJW53" i="7" s="1"/>
  <c r="KJX53" i="7" s="1"/>
  <c r="KJY53" i="7" s="1"/>
  <c r="KJZ53" i="7" s="1"/>
  <c r="KKA53" i="7" s="1"/>
  <c r="KKB53" i="7" s="1"/>
  <c r="KKC53" i="7" s="1"/>
  <c r="KKD53" i="7" s="1"/>
  <c r="KKE53" i="7" s="1"/>
  <c r="KKF53" i="7" s="1"/>
  <c r="KKG53" i="7" s="1"/>
  <c r="KKH53" i="7" s="1"/>
  <c r="KKI53" i="7" s="1"/>
  <c r="KKJ53" i="7" s="1"/>
  <c r="KKK53" i="7" s="1"/>
  <c r="KKL53" i="7" s="1"/>
  <c r="KKM53" i="7" s="1"/>
  <c r="KKN53" i="7" s="1"/>
  <c r="KKO53" i="7" s="1"/>
  <c r="KKP53" i="7" s="1"/>
  <c r="KKQ53" i="7" s="1"/>
  <c r="KKR53" i="7" s="1"/>
  <c r="KKS53" i="7" s="1"/>
  <c r="KKT53" i="7" s="1"/>
  <c r="KKU53" i="7" s="1"/>
  <c r="KKV53" i="7" s="1"/>
  <c r="KKW53" i="7" s="1"/>
  <c r="KKX53" i="7" s="1"/>
  <c r="KKY53" i="7" s="1"/>
  <c r="KKZ53" i="7" s="1"/>
  <c r="KLA53" i="7" s="1"/>
  <c r="KLB53" i="7" s="1"/>
  <c r="KLC53" i="7" s="1"/>
  <c r="KLD53" i="7" s="1"/>
  <c r="KLE53" i="7" s="1"/>
  <c r="KLF53" i="7" s="1"/>
  <c r="KLG53" i="7" s="1"/>
  <c r="KLH53" i="7" s="1"/>
  <c r="KLI53" i="7" s="1"/>
  <c r="KLJ53" i="7" s="1"/>
  <c r="KLK53" i="7" s="1"/>
  <c r="KLL53" i="7" s="1"/>
  <c r="KLM53" i="7" s="1"/>
  <c r="KLN53" i="7" s="1"/>
  <c r="KLO53" i="7" s="1"/>
  <c r="KLP53" i="7" s="1"/>
  <c r="KLQ53" i="7" s="1"/>
  <c r="KLR53" i="7" s="1"/>
  <c r="KLS53" i="7" s="1"/>
  <c r="KLT53" i="7" s="1"/>
  <c r="KLU53" i="7" s="1"/>
  <c r="KLV53" i="7" s="1"/>
  <c r="KLW53" i="7" s="1"/>
  <c r="KLX53" i="7" s="1"/>
  <c r="KLY53" i="7" s="1"/>
  <c r="KLZ53" i="7" s="1"/>
  <c r="KMA53" i="7" s="1"/>
  <c r="KMB53" i="7" s="1"/>
  <c r="KMC53" i="7" s="1"/>
  <c r="KMD53" i="7" s="1"/>
  <c r="KME53" i="7" s="1"/>
  <c r="KMF53" i="7" s="1"/>
  <c r="KMG53" i="7" s="1"/>
  <c r="KMH53" i="7" s="1"/>
  <c r="KMI53" i="7" s="1"/>
  <c r="KMJ53" i="7" s="1"/>
  <c r="KMK53" i="7" s="1"/>
  <c r="KML53" i="7" s="1"/>
  <c r="KMM53" i="7" s="1"/>
  <c r="KMN53" i="7" s="1"/>
  <c r="KMO53" i="7" s="1"/>
  <c r="KMP53" i="7" s="1"/>
  <c r="KMQ53" i="7" s="1"/>
  <c r="KMR53" i="7" s="1"/>
  <c r="KMS53" i="7" s="1"/>
  <c r="KMT53" i="7" s="1"/>
  <c r="KMU53" i="7" s="1"/>
  <c r="KMV53" i="7" s="1"/>
  <c r="KMW53" i="7" s="1"/>
  <c r="KMX53" i="7" s="1"/>
  <c r="KMY53" i="7" s="1"/>
  <c r="KMZ53" i="7" s="1"/>
  <c r="KNA53" i="7" s="1"/>
  <c r="KNB53" i="7" s="1"/>
  <c r="KNC53" i="7" s="1"/>
  <c r="KND53" i="7" s="1"/>
  <c r="KNE53" i="7" s="1"/>
  <c r="KNF53" i="7" s="1"/>
  <c r="KNG53" i="7" s="1"/>
  <c r="KNH53" i="7" s="1"/>
  <c r="KNI53" i="7" s="1"/>
  <c r="KNJ53" i="7" s="1"/>
  <c r="KNK53" i="7" s="1"/>
  <c r="KNL53" i="7" s="1"/>
  <c r="KNM53" i="7" s="1"/>
  <c r="KNN53" i="7" s="1"/>
  <c r="KNO53" i="7" s="1"/>
  <c r="KNP53" i="7" s="1"/>
  <c r="KNQ53" i="7" s="1"/>
  <c r="KNR53" i="7" s="1"/>
  <c r="KNS53" i="7" s="1"/>
  <c r="KNT53" i="7" s="1"/>
  <c r="KNU53" i="7" s="1"/>
  <c r="KNV53" i="7" s="1"/>
  <c r="KNW53" i="7" s="1"/>
  <c r="KNX53" i="7" s="1"/>
  <c r="KNY53" i="7" s="1"/>
  <c r="KNZ53" i="7" s="1"/>
  <c r="KOA53" i="7" s="1"/>
  <c r="KOB53" i="7" s="1"/>
  <c r="KOC53" i="7" s="1"/>
  <c r="KOD53" i="7" s="1"/>
  <c r="KOE53" i="7" s="1"/>
  <c r="KOF53" i="7" s="1"/>
  <c r="KOG53" i="7" s="1"/>
  <c r="KOH53" i="7" s="1"/>
  <c r="KOI53" i="7" s="1"/>
  <c r="KOJ53" i="7" s="1"/>
  <c r="KOK53" i="7" s="1"/>
  <c r="KOL53" i="7" s="1"/>
  <c r="KOM53" i="7" s="1"/>
  <c r="KON53" i="7" s="1"/>
  <c r="KOO53" i="7" s="1"/>
  <c r="KOP53" i="7" s="1"/>
  <c r="KOQ53" i="7" s="1"/>
  <c r="KOR53" i="7" s="1"/>
  <c r="KOS53" i="7" s="1"/>
  <c r="KOT53" i="7" s="1"/>
  <c r="KOU53" i="7" s="1"/>
  <c r="KOV53" i="7" s="1"/>
  <c r="KOW53" i="7" s="1"/>
  <c r="KOX53" i="7" s="1"/>
  <c r="KOY53" i="7" s="1"/>
  <c r="KOZ53" i="7" s="1"/>
  <c r="KPA53" i="7" s="1"/>
  <c r="KPB53" i="7" s="1"/>
  <c r="KPC53" i="7" s="1"/>
  <c r="KPD53" i="7" s="1"/>
  <c r="KPE53" i="7" s="1"/>
  <c r="KPF53" i="7" s="1"/>
  <c r="KPG53" i="7" s="1"/>
  <c r="KPH53" i="7" s="1"/>
  <c r="KPI53" i="7" s="1"/>
  <c r="KPJ53" i="7" s="1"/>
  <c r="KPK53" i="7" s="1"/>
  <c r="KPL53" i="7" s="1"/>
  <c r="KPM53" i="7" s="1"/>
  <c r="KPN53" i="7" s="1"/>
  <c r="KPO53" i="7" s="1"/>
  <c r="KPP53" i="7" s="1"/>
  <c r="KPQ53" i="7" s="1"/>
  <c r="KPR53" i="7" s="1"/>
  <c r="KPS53" i="7" s="1"/>
  <c r="KPT53" i="7" s="1"/>
  <c r="KPU53" i="7" s="1"/>
  <c r="KPV53" i="7" s="1"/>
  <c r="KPW53" i="7" s="1"/>
  <c r="KPX53" i="7" s="1"/>
  <c r="KPY53" i="7" s="1"/>
  <c r="KPZ53" i="7" s="1"/>
  <c r="KQA53" i="7" s="1"/>
  <c r="KQB53" i="7" s="1"/>
  <c r="KQC53" i="7" s="1"/>
  <c r="KQD53" i="7" s="1"/>
  <c r="KQE53" i="7" s="1"/>
  <c r="KQF53" i="7" s="1"/>
  <c r="KQG53" i="7" s="1"/>
  <c r="KQH53" i="7" s="1"/>
  <c r="KQI53" i="7" s="1"/>
  <c r="KQJ53" i="7" s="1"/>
  <c r="KQK53" i="7" s="1"/>
  <c r="KQL53" i="7" s="1"/>
  <c r="KQM53" i="7" s="1"/>
  <c r="KQN53" i="7" s="1"/>
  <c r="KQO53" i="7" s="1"/>
  <c r="KQP53" i="7" s="1"/>
  <c r="KQQ53" i="7" s="1"/>
  <c r="KQR53" i="7" s="1"/>
  <c r="KQS53" i="7" s="1"/>
  <c r="KQT53" i="7" s="1"/>
  <c r="KQU53" i="7" s="1"/>
  <c r="KQV53" i="7" s="1"/>
  <c r="KQW53" i="7" s="1"/>
  <c r="KQX53" i="7" s="1"/>
  <c r="KQY53" i="7" s="1"/>
  <c r="KQZ53" i="7" s="1"/>
  <c r="KRA53" i="7" s="1"/>
  <c r="KRB53" i="7" s="1"/>
  <c r="KRC53" i="7" s="1"/>
  <c r="KRD53" i="7" s="1"/>
  <c r="KRE53" i="7" s="1"/>
  <c r="KRF53" i="7" s="1"/>
  <c r="KRG53" i="7" s="1"/>
  <c r="KRH53" i="7" s="1"/>
  <c r="KRI53" i="7" s="1"/>
  <c r="KRJ53" i="7" s="1"/>
  <c r="KRK53" i="7" s="1"/>
  <c r="KRL53" i="7" s="1"/>
  <c r="KRM53" i="7" s="1"/>
  <c r="KRN53" i="7" s="1"/>
  <c r="KRO53" i="7" s="1"/>
  <c r="KRP53" i="7" s="1"/>
  <c r="KRQ53" i="7" s="1"/>
  <c r="KRR53" i="7" s="1"/>
  <c r="KRS53" i="7" s="1"/>
  <c r="KRT53" i="7" s="1"/>
  <c r="KRU53" i="7" s="1"/>
  <c r="KRV53" i="7" s="1"/>
  <c r="KRW53" i="7" s="1"/>
  <c r="KRX53" i="7" s="1"/>
  <c r="KRY53" i="7" s="1"/>
  <c r="KRZ53" i="7" s="1"/>
  <c r="KSA53" i="7" s="1"/>
  <c r="KSB53" i="7" s="1"/>
  <c r="KSC53" i="7" s="1"/>
  <c r="KSD53" i="7" s="1"/>
  <c r="KSE53" i="7" s="1"/>
  <c r="KSF53" i="7" s="1"/>
  <c r="KSG53" i="7" s="1"/>
  <c r="KSH53" i="7" s="1"/>
  <c r="KSI53" i="7" s="1"/>
  <c r="KSJ53" i="7" s="1"/>
  <c r="KSK53" i="7" s="1"/>
  <c r="KSL53" i="7" s="1"/>
  <c r="KSM53" i="7" s="1"/>
  <c r="KSN53" i="7" s="1"/>
  <c r="KSO53" i="7" s="1"/>
  <c r="KSP53" i="7" s="1"/>
  <c r="KSQ53" i="7" s="1"/>
  <c r="KSR53" i="7" s="1"/>
  <c r="KSS53" i="7" s="1"/>
  <c r="KST53" i="7" s="1"/>
  <c r="KSU53" i="7" s="1"/>
  <c r="KSV53" i="7" s="1"/>
  <c r="KSW53" i="7" s="1"/>
  <c r="KSX53" i="7" s="1"/>
  <c r="KSY53" i="7" s="1"/>
  <c r="KSZ53" i="7" s="1"/>
  <c r="KTA53" i="7" s="1"/>
  <c r="KTB53" i="7" s="1"/>
  <c r="KTC53" i="7" s="1"/>
  <c r="KTD53" i="7" s="1"/>
  <c r="KTE53" i="7" s="1"/>
  <c r="KTF53" i="7" s="1"/>
  <c r="KTG53" i="7" s="1"/>
  <c r="KTH53" i="7" s="1"/>
  <c r="KTI53" i="7" s="1"/>
  <c r="KTJ53" i="7" s="1"/>
  <c r="KTK53" i="7" s="1"/>
  <c r="KTL53" i="7" s="1"/>
  <c r="KTM53" i="7" s="1"/>
  <c r="KTN53" i="7" s="1"/>
  <c r="KTO53" i="7" s="1"/>
  <c r="KTP53" i="7" s="1"/>
  <c r="KTQ53" i="7" s="1"/>
  <c r="KTR53" i="7" s="1"/>
  <c r="KTS53" i="7" s="1"/>
  <c r="KTT53" i="7" s="1"/>
  <c r="KTU53" i="7" s="1"/>
  <c r="KTV53" i="7" s="1"/>
  <c r="KTW53" i="7" s="1"/>
  <c r="KTX53" i="7" s="1"/>
  <c r="KTY53" i="7" s="1"/>
  <c r="KTZ53" i="7" s="1"/>
  <c r="KUA53" i="7" s="1"/>
  <c r="KUB53" i="7" s="1"/>
  <c r="KUC53" i="7" s="1"/>
  <c r="KUD53" i="7" s="1"/>
  <c r="KUE53" i="7" s="1"/>
  <c r="KUF53" i="7" s="1"/>
  <c r="KUG53" i="7" s="1"/>
  <c r="KUH53" i="7" s="1"/>
  <c r="KUI53" i="7" s="1"/>
  <c r="KUJ53" i="7" s="1"/>
  <c r="KUK53" i="7" s="1"/>
  <c r="KUL53" i="7" s="1"/>
  <c r="KUM53" i="7" s="1"/>
  <c r="KUN53" i="7" s="1"/>
  <c r="KUO53" i="7" s="1"/>
  <c r="KUP53" i="7" s="1"/>
  <c r="KUQ53" i="7" s="1"/>
  <c r="KUR53" i="7" s="1"/>
  <c r="KUS53" i="7" s="1"/>
  <c r="KUT53" i="7" s="1"/>
  <c r="KUU53" i="7" s="1"/>
  <c r="KUV53" i="7" s="1"/>
  <c r="KUW53" i="7" s="1"/>
  <c r="KUX53" i="7" s="1"/>
  <c r="KUY53" i="7" s="1"/>
  <c r="KUZ53" i="7" s="1"/>
  <c r="KVA53" i="7" s="1"/>
  <c r="KVB53" i="7" s="1"/>
  <c r="KVC53" i="7" s="1"/>
  <c r="KVD53" i="7" s="1"/>
  <c r="KVE53" i="7" s="1"/>
  <c r="KVF53" i="7" s="1"/>
  <c r="KVG53" i="7" s="1"/>
  <c r="KVH53" i="7" s="1"/>
  <c r="KVI53" i="7" s="1"/>
  <c r="KVJ53" i="7" s="1"/>
  <c r="KVK53" i="7" s="1"/>
  <c r="KVL53" i="7" s="1"/>
  <c r="KVM53" i="7" s="1"/>
  <c r="KVN53" i="7" s="1"/>
  <c r="KVO53" i="7" s="1"/>
  <c r="KVP53" i="7" s="1"/>
  <c r="KVQ53" i="7" s="1"/>
  <c r="KVR53" i="7" s="1"/>
  <c r="KVS53" i="7" s="1"/>
  <c r="KVT53" i="7" s="1"/>
  <c r="KVU53" i="7" s="1"/>
  <c r="KVV53" i="7" s="1"/>
  <c r="KVW53" i="7" s="1"/>
  <c r="KVX53" i="7" s="1"/>
  <c r="KVY53" i="7" s="1"/>
  <c r="KVZ53" i="7" s="1"/>
  <c r="KWA53" i="7" s="1"/>
  <c r="KWB53" i="7" s="1"/>
  <c r="KWC53" i="7" s="1"/>
  <c r="KWD53" i="7" s="1"/>
  <c r="KWE53" i="7" s="1"/>
  <c r="KWF53" i="7" s="1"/>
  <c r="KWG53" i="7" s="1"/>
  <c r="KWH53" i="7" s="1"/>
  <c r="KWI53" i="7" s="1"/>
  <c r="KWJ53" i="7" s="1"/>
  <c r="KWK53" i="7" s="1"/>
  <c r="KWL53" i="7" s="1"/>
  <c r="KWM53" i="7" s="1"/>
  <c r="KWN53" i="7" s="1"/>
  <c r="KWO53" i="7" s="1"/>
  <c r="KWP53" i="7" s="1"/>
  <c r="KWQ53" i="7" s="1"/>
  <c r="KWR53" i="7" s="1"/>
  <c r="KWS53" i="7" s="1"/>
  <c r="KWT53" i="7" s="1"/>
  <c r="KWU53" i="7" s="1"/>
  <c r="KWV53" i="7" s="1"/>
  <c r="KWW53" i="7" s="1"/>
  <c r="KWX53" i="7" s="1"/>
  <c r="KWY53" i="7" s="1"/>
  <c r="KWZ53" i="7" s="1"/>
  <c r="KXA53" i="7" s="1"/>
  <c r="KXB53" i="7" s="1"/>
  <c r="KXC53" i="7" s="1"/>
  <c r="KXD53" i="7" s="1"/>
  <c r="KXE53" i="7" s="1"/>
  <c r="KXF53" i="7" s="1"/>
  <c r="KXG53" i="7" s="1"/>
  <c r="KXH53" i="7" s="1"/>
  <c r="KXI53" i="7" s="1"/>
  <c r="KXJ53" i="7" s="1"/>
  <c r="KXK53" i="7" s="1"/>
  <c r="KXL53" i="7" s="1"/>
  <c r="KXM53" i="7" s="1"/>
  <c r="KXN53" i="7" s="1"/>
  <c r="KXO53" i="7" s="1"/>
  <c r="KXP53" i="7" s="1"/>
  <c r="KXQ53" i="7" s="1"/>
  <c r="KXR53" i="7" s="1"/>
  <c r="KXS53" i="7" s="1"/>
  <c r="KXT53" i="7" s="1"/>
  <c r="KXU53" i="7" s="1"/>
  <c r="KXV53" i="7" s="1"/>
  <c r="KXW53" i="7" s="1"/>
  <c r="KXX53" i="7" s="1"/>
  <c r="KXY53" i="7" s="1"/>
  <c r="KXZ53" i="7" s="1"/>
  <c r="KYA53" i="7" s="1"/>
  <c r="KYB53" i="7" s="1"/>
  <c r="KYC53" i="7" s="1"/>
  <c r="KYD53" i="7" s="1"/>
  <c r="KYE53" i="7" s="1"/>
  <c r="KYF53" i="7" s="1"/>
  <c r="KYG53" i="7" s="1"/>
  <c r="KYH53" i="7" s="1"/>
  <c r="KYI53" i="7" s="1"/>
  <c r="KYJ53" i="7" s="1"/>
  <c r="KYK53" i="7" s="1"/>
  <c r="KYL53" i="7" s="1"/>
  <c r="KYM53" i="7" s="1"/>
  <c r="KYN53" i="7" s="1"/>
  <c r="KYO53" i="7" s="1"/>
  <c r="KYP53" i="7" s="1"/>
  <c r="KYQ53" i="7" s="1"/>
  <c r="KYR53" i="7" s="1"/>
  <c r="KYS53" i="7" s="1"/>
  <c r="KYT53" i="7" s="1"/>
  <c r="KYU53" i="7" s="1"/>
  <c r="KYV53" i="7" s="1"/>
  <c r="KYW53" i="7" s="1"/>
  <c r="KYX53" i="7" s="1"/>
  <c r="KYY53" i="7" s="1"/>
  <c r="KYZ53" i="7" s="1"/>
  <c r="KZA53" i="7" s="1"/>
  <c r="KZB53" i="7" s="1"/>
  <c r="KZC53" i="7" s="1"/>
  <c r="KZD53" i="7" s="1"/>
  <c r="KZE53" i="7" s="1"/>
  <c r="KZF53" i="7" s="1"/>
  <c r="KZG53" i="7" s="1"/>
  <c r="KZH53" i="7" s="1"/>
  <c r="KZI53" i="7" s="1"/>
  <c r="KZJ53" i="7" s="1"/>
  <c r="KZK53" i="7" s="1"/>
  <c r="KZL53" i="7" s="1"/>
  <c r="KZM53" i="7" s="1"/>
  <c r="KZN53" i="7" s="1"/>
  <c r="KZO53" i="7" s="1"/>
  <c r="KZP53" i="7" s="1"/>
  <c r="KZQ53" i="7" s="1"/>
  <c r="KZR53" i="7" s="1"/>
  <c r="KZS53" i="7" s="1"/>
  <c r="KZT53" i="7" s="1"/>
  <c r="KZU53" i="7" s="1"/>
  <c r="KZV53" i="7" s="1"/>
  <c r="KZW53" i="7" s="1"/>
  <c r="KZX53" i="7" s="1"/>
  <c r="KZY53" i="7" s="1"/>
  <c r="KZZ53" i="7" s="1"/>
  <c r="LAA53" i="7" s="1"/>
  <c r="LAB53" i="7" s="1"/>
  <c r="LAC53" i="7" s="1"/>
  <c r="LAD53" i="7" s="1"/>
  <c r="LAE53" i="7" s="1"/>
  <c r="LAF53" i="7" s="1"/>
  <c r="LAG53" i="7" s="1"/>
  <c r="LAH53" i="7" s="1"/>
  <c r="LAI53" i="7" s="1"/>
  <c r="LAJ53" i="7" s="1"/>
  <c r="LAK53" i="7" s="1"/>
  <c r="LAL53" i="7" s="1"/>
  <c r="LAM53" i="7" s="1"/>
  <c r="LAN53" i="7" s="1"/>
  <c r="LAO53" i="7" s="1"/>
  <c r="LAP53" i="7" s="1"/>
  <c r="LAQ53" i="7" s="1"/>
  <c r="LAR53" i="7" s="1"/>
  <c r="LAS53" i="7" s="1"/>
  <c r="LAT53" i="7" s="1"/>
  <c r="LAU53" i="7" s="1"/>
  <c r="LAV53" i="7" s="1"/>
  <c r="LAW53" i="7" s="1"/>
  <c r="LAX53" i="7" s="1"/>
  <c r="LAY53" i="7" s="1"/>
  <c r="LAZ53" i="7" s="1"/>
  <c r="LBA53" i="7" s="1"/>
  <c r="LBB53" i="7" s="1"/>
  <c r="LBC53" i="7" s="1"/>
  <c r="LBD53" i="7" s="1"/>
  <c r="LBE53" i="7" s="1"/>
  <c r="LBF53" i="7" s="1"/>
  <c r="LBG53" i="7" s="1"/>
  <c r="LBH53" i="7" s="1"/>
  <c r="LBI53" i="7" s="1"/>
  <c r="LBJ53" i="7" s="1"/>
  <c r="LBK53" i="7" s="1"/>
  <c r="LBL53" i="7" s="1"/>
  <c r="LBM53" i="7" s="1"/>
  <c r="LBN53" i="7" s="1"/>
  <c r="LBO53" i="7" s="1"/>
  <c r="LBP53" i="7" s="1"/>
  <c r="LBQ53" i="7" s="1"/>
  <c r="LBR53" i="7" s="1"/>
  <c r="LBS53" i="7" s="1"/>
  <c r="LBT53" i="7" s="1"/>
  <c r="LBU53" i="7" s="1"/>
  <c r="LBV53" i="7" s="1"/>
  <c r="LBW53" i="7" s="1"/>
  <c r="LBX53" i="7" s="1"/>
  <c r="LBY53" i="7" s="1"/>
  <c r="LBZ53" i="7" s="1"/>
  <c r="LCA53" i="7" s="1"/>
  <c r="LCB53" i="7" s="1"/>
  <c r="LCC53" i="7" s="1"/>
  <c r="LCD53" i="7" s="1"/>
  <c r="LCE53" i="7" s="1"/>
  <c r="LCF53" i="7" s="1"/>
  <c r="LCG53" i="7" s="1"/>
  <c r="LCH53" i="7" s="1"/>
  <c r="LCI53" i="7" s="1"/>
  <c r="LCJ53" i="7" s="1"/>
  <c r="LCK53" i="7" s="1"/>
  <c r="LCL53" i="7" s="1"/>
  <c r="LCM53" i="7" s="1"/>
  <c r="LCN53" i="7" s="1"/>
  <c r="LCO53" i="7" s="1"/>
  <c r="LCP53" i="7" s="1"/>
  <c r="LCQ53" i="7" s="1"/>
  <c r="LCR53" i="7" s="1"/>
  <c r="LCS53" i="7" s="1"/>
  <c r="LCT53" i="7" s="1"/>
  <c r="LCU53" i="7" s="1"/>
  <c r="LCV53" i="7" s="1"/>
  <c r="LCW53" i="7" s="1"/>
  <c r="LCX53" i="7" s="1"/>
  <c r="LCY53" i="7" s="1"/>
  <c r="LCZ53" i="7" s="1"/>
  <c r="LDA53" i="7" s="1"/>
  <c r="LDB53" i="7" s="1"/>
  <c r="LDC53" i="7" s="1"/>
  <c r="LDD53" i="7" s="1"/>
  <c r="LDE53" i="7" s="1"/>
  <c r="LDF53" i="7" s="1"/>
  <c r="LDG53" i="7" s="1"/>
  <c r="LDH53" i="7" s="1"/>
  <c r="LDI53" i="7" s="1"/>
  <c r="LDJ53" i="7" s="1"/>
  <c r="LDK53" i="7" s="1"/>
  <c r="LDL53" i="7" s="1"/>
  <c r="LDM53" i="7" s="1"/>
  <c r="LDN53" i="7" s="1"/>
  <c r="LDO53" i="7" s="1"/>
  <c r="LDP53" i="7" s="1"/>
  <c r="LDQ53" i="7" s="1"/>
  <c r="LDR53" i="7" s="1"/>
  <c r="LDS53" i="7" s="1"/>
  <c r="LDT53" i="7" s="1"/>
  <c r="LDU53" i="7" s="1"/>
  <c r="LDV53" i="7" s="1"/>
  <c r="LDW53" i="7" s="1"/>
  <c r="LDX53" i="7" s="1"/>
  <c r="LDY53" i="7" s="1"/>
  <c r="LDZ53" i="7" s="1"/>
  <c r="LEA53" i="7" s="1"/>
  <c r="LEB53" i="7" s="1"/>
  <c r="LEC53" i="7" s="1"/>
  <c r="LED53" i="7" s="1"/>
  <c r="LEE53" i="7" s="1"/>
  <c r="LEF53" i="7" s="1"/>
  <c r="LEG53" i="7" s="1"/>
  <c r="LEH53" i="7" s="1"/>
  <c r="LEI53" i="7" s="1"/>
  <c r="LEJ53" i="7" s="1"/>
  <c r="LEK53" i="7" s="1"/>
  <c r="LEL53" i="7" s="1"/>
  <c r="LEM53" i="7" s="1"/>
  <c r="LEN53" i="7" s="1"/>
  <c r="LEO53" i="7" s="1"/>
  <c r="LEP53" i="7" s="1"/>
  <c r="LEQ53" i="7" s="1"/>
  <c r="LER53" i="7" s="1"/>
  <c r="LES53" i="7" s="1"/>
  <c r="LET53" i="7" s="1"/>
  <c r="LEU53" i="7" s="1"/>
  <c r="LEV53" i="7" s="1"/>
  <c r="LEW53" i="7" s="1"/>
  <c r="LEX53" i="7" s="1"/>
  <c r="LEY53" i="7" s="1"/>
  <c r="LEZ53" i="7" s="1"/>
  <c r="LFA53" i="7" s="1"/>
  <c r="LFB53" i="7" s="1"/>
  <c r="LFC53" i="7" s="1"/>
  <c r="LFD53" i="7" s="1"/>
  <c r="LFE53" i="7" s="1"/>
  <c r="LFF53" i="7" s="1"/>
  <c r="LFG53" i="7" s="1"/>
  <c r="LFH53" i="7" s="1"/>
  <c r="LFI53" i="7" s="1"/>
  <c r="LFJ53" i="7" s="1"/>
  <c r="LFK53" i="7" s="1"/>
  <c r="LFL53" i="7" s="1"/>
  <c r="LFM53" i="7" s="1"/>
  <c r="LFN53" i="7" s="1"/>
  <c r="LFO53" i="7" s="1"/>
  <c r="LFP53" i="7" s="1"/>
  <c r="LFQ53" i="7" s="1"/>
  <c r="LFR53" i="7" s="1"/>
  <c r="LFS53" i="7" s="1"/>
  <c r="LFT53" i="7" s="1"/>
  <c r="LFU53" i="7" s="1"/>
  <c r="LFV53" i="7" s="1"/>
  <c r="LFW53" i="7" s="1"/>
  <c r="LFX53" i="7" s="1"/>
  <c r="LFY53" i="7" s="1"/>
  <c r="LFZ53" i="7" s="1"/>
  <c r="LGA53" i="7" s="1"/>
  <c r="LGB53" i="7" s="1"/>
  <c r="LGC53" i="7" s="1"/>
  <c r="LGD53" i="7" s="1"/>
  <c r="LGE53" i="7" s="1"/>
  <c r="LGF53" i="7" s="1"/>
  <c r="LGG53" i="7" s="1"/>
  <c r="LGH53" i="7" s="1"/>
  <c r="LGI53" i="7" s="1"/>
  <c r="LGJ53" i="7" s="1"/>
  <c r="LGK53" i="7" s="1"/>
  <c r="LGL53" i="7" s="1"/>
  <c r="LGM53" i="7" s="1"/>
  <c r="LGN53" i="7" s="1"/>
  <c r="LGO53" i="7" s="1"/>
  <c r="LGP53" i="7" s="1"/>
  <c r="LGQ53" i="7" s="1"/>
  <c r="LGR53" i="7" s="1"/>
  <c r="LGS53" i="7" s="1"/>
  <c r="LGT53" i="7" s="1"/>
  <c r="LGU53" i="7" s="1"/>
  <c r="LGV53" i="7" s="1"/>
  <c r="LGW53" i="7" s="1"/>
  <c r="LGX53" i="7" s="1"/>
  <c r="LGY53" i="7" s="1"/>
  <c r="LGZ53" i="7" s="1"/>
  <c r="LHA53" i="7" s="1"/>
  <c r="LHB53" i="7" s="1"/>
  <c r="LHC53" i="7" s="1"/>
  <c r="LHD53" i="7" s="1"/>
  <c r="LHE53" i="7" s="1"/>
  <c r="LHF53" i="7" s="1"/>
  <c r="LHG53" i="7" s="1"/>
  <c r="LHH53" i="7" s="1"/>
  <c r="LHI53" i="7" s="1"/>
  <c r="LHJ53" i="7" s="1"/>
  <c r="LHK53" i="7" s="1"/>
  <c r="LHL53" i="7" s="1"/>
  <c r="LHM53" i="7" s="1"/>
  <c r="LHN53" i="7" s="1"/>
  <c r="LHO53" i="7" s="1"/>
  <c r="LHP53" i="7" s="1"/>
  <c r="LHQ53" i="7" s="1"/>
  <c r="LHR53" i="7" s="1"/>
  <c r="LHS53" i="7" s="1"/>
  <c r="LHT53" i="7" s="1"/>
  <c r="LHU53" i="7" s="1"/>
  <c r="LHV53" i="7" s="1"/>
  <c r="LHW53" i="7" s="1"/>
  <c r="LHX53" i="7" s="1"/>
  <c r="LHY53" i="7" s="1"/>
  <c r="LHZ53" i="7" s="1"/>
  <c r="LIA53" i="7" s="1"/>
  <c r="LIB53" i="7" s="1"/>
  <c r="LIC53" i="7" s="1"/>
  <c r="LID53" i="7" s="1"/>
  <c r="LIE53" i="7" s="1"/>
  <c r="LIF53" i="7" s="1"/>
  <c r="LIG53" i="7" s="1"/>
  <c r="LIH53" i="7" s="1"/>
  <c r="LII53" i="7" s="1"/>
  <c r="LIJ53" i="7" s="1"/>
  <c r="LIK53" i="7" s="1"/>
  <c r="LIL53" i="7" s="1"/>
  <c r="LIM53" i="7" s="1"/>
  <c r="LIN53" i="7" s="1"/>
  <c r="LIO53" i="7" s="1"/>
  <c r="LIP53" i="7" s="1"/>
  <c r="LIQ53" i="7" s="1"/>
  <c r="LIR53" i="7" s="1"/>
  <c r="LIS53" i="7" s="1"/>
  <c r="LIT53" i="7" s="1"/>
  <c r="LIU53" i="7" s="1"/>
  <c r="LIV53" i="7" s="1"/>
  <c r="LIW53" i="7" s="1"/>
  <c r="LIX53" i="7" s="1"/>
  <c r="LIY53" i="7" s="1"/>
  <c r="LIZ53" i="7" s="1"/>
  <c r="LJA53" i="7" s="1"/>
  <c r="LJB53" i="7" s="1"/>
  <c r="LJC53" i="7" s="1"/>
  <c r="LJD53" i="7" s="1"/>
  <c r="LJE53" i="7" s="1"/>
  <c r="LJF53" i="7" s="1"/>
  <c r="LJG53" i="7" s="1"/>
  <c r="LJH53" i="7" s="1"/>
  <c r="LJI53" i="7" s="1"/>
  <c r="LJJ53" i="7" s="1"/>
  <c r="LJK53" i="7" s="1"/>
  <c r="LJL53" i="7" s="1"/>
  <c r="LJM53" i="7" s="1"/>
  <c r="LJN53" i="7" s="1"/>
  <c r="LJO53" i="7" s="1"/>
  <c r="LJP53" i="7" s="1"/>
  <c r="LJQ53" i="7" s="1"/>
  <c r="LJR53" i="7" s="1"/>
  <c r="LJS53" i="7" s="1"/>
  <c r="LJT53" i="7" s="1"/>
  <c r="LJU53" i="7" s="1"/>
  <c r="LJV53" i="7" s="1"/>
  <c r="LJW53" i="7" s="1"/>
  <c r="LJX53" i="7" s="1"/>
  <c r="LJY53" i="7" s="1"/>
  <c r="LJZ53" i="7" s="1"/>
  <c r="LKA53" i="7" s="1"/>
  <c r="LKB53" i="7" s="1"/>
  <c r="LKC53" i="7" s="1"/>
  <c r="LKD53" i="7" s="1"/>
  <c r="LKE53" i="7" s="1"/>
  <c r="LKF53" i="7" s="1"/>
  <c r="LKG53" i="7" s="1"/>
  <c r="LKH53" i="7" s="1"/>
  <c r="LKI53" i="7" s="1"/>
  <c r="LKJ53" i="7" s="1"/>
  <c r="LKK53" i="7" s="1"/>
  <c r="LKL53" i="7" s="1"/>
  <c r="LKM53" i="7" s="1"/>
  <c r="LKN53" i="7" s="1"/>
  <c r="LKO53" i="7" s="1"/>
  <c r="LKP53" i="7" s="1"/>
  <c r="LKQ53" i="7" s="1"/>
  <c r="LKR53" i="7" s="1"/>
  <c r="LKS53" i="7" s="1"/>
  <c r="LKT53" i="7" s="1"/>
  <c r="LKU53" i="7" s="1"/>
  <c r="LKV53" i="7" s="1"/>
  <c r="LKW53" i="7" s="1"/>
  <c r="LKX53" i="7" s="1"/>
  <c r="LKY53" i="7" s="1"/>
  <c r="LKZ53" i="7" s="1"/>
  <c r="LLA53" i="7" s="1"/>
  <c r="LLB53" i="7" s="1"/>
  <c r="LLC53" i="7" s="1"/>
  <c r="LLD53" i="7" s="1"/>
  <c r="LLE53" i="7" s="1"/>
  <c r="LLF53" i="7" s="1"/>
  <c r="LLG53" i="7" s="1"/>
  <c r="LLH53" i="7" s="1"/>
  <c r="LLI53" i="7" s="1"/>
  <c r="LLJ53" i="7" s="1"/>
  <c r="LLK53" i="7" s="1"/>
  <c r="LLL53" i="7" s="1"/>
  <c r="LLM53" i="7" s="1"/>
  <c r="LLN53" i="7" s="1"/>
  <c r="LLO53" i="7" s="1"/>
  <c r="LLP53" i="7" s="1"/>
  <c r="LLQ53" i="7" s="1"/>
  <c r="LLR53" i="7" s="1"/>
  <c r="LLS53" i="7" s="1"/>
  <c r="LLT53" i="7" s="1"/>
  <c r="LLU53" i="7" s="1"/>
  <c r="LLV53" i="7" s="1"/>
  <c r="LLW53" i="7" s="1"/>
  <c r="LLX53" i="7" s="1"/>
  <c r="LLY53" i="7" s="1"/>
  <c r="LLZ53" i="7" s="1"/>
  <c r="LMA53" i="7" s="1"/>
  <c r="LMB53" i="7" s="1"/>
  <c r="LMC53" i="7" s="1"/>
  <c r="LMD53" i="7" s="1"/>
  <c r="LME53" i="7" s="1"/>
  <c r="LMF53" i="7" s="1"/>
  <c r="LMG53" i="7" s="1"/>
  <c r="LMH53" i="7" s="1"/>
  <c r="LMI53" i="7" s="1"/>
  <c r="LMJ53" i="7" s="1"/>
  <c r="LMK53" i="7" s="1"/>
  <c r="LML53" i="7" s="1"/>
  <c r="LMM53" i="7" s="1"/>
  <c r="LMN53" i="7" s="1"/>
  <c r="LMO53" i="7" s="1"/>
  <c r="LMP53" i="7" s="1"/>
  <c r="LMQ53" i="7" s="1"/>
  <c r="LMR53" i="7" s="1"/>
  <c r="LMS53" i="7" s="1"/>
  <c r="LMT53" i="7" s="1"/>
  <c r="LMU53" i="7" s="1"/>
  <c r="LMV53" i="7" s="1"/>
  <c r="LMW53" i="7" s="1"/>
  <c r="LMX53" i="7" s="1"/>
  <c r="LMY53" i="7" s="1"/>
  <c r="LMZ53" i="7" s="1"/>
  <c r="LNA53" i="7" s="1"/>
  <c r="LNB53" i="7" s="1"/>
  <c r="LNC53" i="7" s="1"/>
  <c r="LND53" i="7" s="1"/>
  <c r="LNE53" i="7" s="1"/>
  <c r="LNF53" i="7" s="1"/>
  <c r="LNG53" i="7" s="1"/>
  <c r="LNH53" i="7" s="1"/>
  <c r="LNI53" i="7" s="1"/>
  <c r="LNJ53" i="7" s="1"/>
  <c r="LNK53" i="7" s="1"/>
  <c r="LNL53" i="7" s="1"/>
  <c r="LNM53" i="7" s="1"/>
  <c r="LNN53" i="7" s="1"/>
  <c r="LNO53" i="7" s="1"/>
  <c r="LNP53" i="7" s="1"/>
  <c r="LNQ53" i="7" s="1"/>
  <c r="LNR53" i="7" s="1"/>
  <c r="LNS53" i="7" s="1"/>
  <c r="LNT53" i="7" s="1"/>
  <c r="LNU53" i="7" s="1"/>
  <c r="LNV53" i="7" s="1"/>
  <c r="LNW53" i="7" s="1"/>
  <c r="LNX53" i="7" s="1"/>
  <c r="LNY53" i="7" s="1"/>
  <c r="LNZ53" i="7" s="1"/>
  <c r="LOA53" i="7" s="1"/>
  <c r="LOB53" i="7" s="1"/>
  <c r="LOC53" i="7" s="1"/>
  <c r="LOD53" i="7" s="1"/>
  <c r="LOE53" i="7" s="1"/>
  <c r="LOF53" i="7" s="1"/>
  <c r="LOG53" i="7" s="1"/>
  <c r="LOH53" i="7" s="1"/>
  <c r="LOI53" i="7" s="1"/>
  <c r="LOJ53" i="7" s="1"/>
  <c r="LOK53" i="7" s="1"/>
  <c r="LOL53" i="7" s="1"/>
  <c r="LOM53" i="7" s="1"/>
  <c r="LON53" i="7" s="1"/>
  <c r="LOO53" i="7" s="1"/>
  <c r="LOP53" i="7" s="1"/>
  <c r="LOQ53" i="7" s="1"/>
  <c r="LOR53" i="7" s="1"/>
  <c r="LOS53" i="7" s="1"/>
  <c r="LOT53" i="7" s="1"/>
  <c r="LOU53" i="7" s="1"/>
  <c r="LOV53" i="7" s="1"/>
  <c r="LOW53" i="7" s="1"/>
  <c r="LOX53" i="7" s="1"/>
  <c r="LOY53" i="7" s="1"/>
  <c r="LOZ53" i="7" s="1"/>
  <c r="LPA53" i="7" s="1"/>
  <c r="LPB53" i="7" s="1"/>
  <c r="LPC53" i="7" s="1"/>
  <c r="LPD53" i="7" s="1"/>
  <c r="LPE53" i="7" s="1"/>
  <c r="LPF53" i="7" s="1"/>
  <c r="LPG53" i="7" s="1"/>
  <c r="LPH53" i="7" s="1"/>
  <c r="LPI53" i="7" s="1"/>
  <c r="LPJ53" i="7" s="1"/>
  <c r="LPK53" i="7" s="1"/>
  <c r="LPL53" i="7" s="1"/>
  <c r="LPM53" i="7" s="1"/>
  <c r="LPN53" i="7" s="1"/>
  <c r="LPO53" i="7" s="1"/>
  <c r="LPP53" i="7" s="1"/>
  <c r="LPQ53" i="7" s="1"/>
  <c r="LPR53" i="7" s="1"/>
  <c r="LPS53" i="7" s="1"/>
  <c r="LPT53" i="7" s="1"/>
  <c r="LPU53" i="7" s="1"/>
  <c r="LPV53" i="7" s="1"/>
  <c r="LPW53" i="7" s="1"/>
  <c r="LPX53" i="7" s="1"/>
  <c r="LPY53" i="7" s="1"/>
  <c r="LPZ53" i="7" s="1"/>
  <c r="LQA53" i="7" s="1"/>
  <c r="LQB53" i="7" s="1"/>
  <c r="LQC53" i="7" s="1"/>
  <c r="LQD53" i="7" s="1"/>
  <c r="LQE53" i="7" s="1"/>
  <c r="LQF53" i="7" s="1"/>
  <c r="LQG53" i="7" s="1"/>
  <c r="LQH53" i="7" s="1"/>
  <c r="LQI53" i="7" s="1"/>
  <c r="LQJ53" i="7" s="1"/>
  <c r="LQK53" i="7" s="1"/>
  <c r="LQL53" i="7" s="1"/>
  <c r="LQM53" i="7" s="1"/>
  <c r="LQN53" i="7" s="1"/>
  <c r="LQO53" i="7" s="1"/>
  <c r="LQP53" i="7" s="1"/>
  <c r="LQQ53" i="7" s="1"/>
  <c r="LQR53" i="7" s="1"/>
  <c r="LQS53" i="7" s="1"/>
  <c r="LQT53" i="7" s="1"/>
  <c r="LQU53" i="7" s="1"/>
  <c r="LQV53" i="7" s="1"/>
  <c r="LQW53" i="7" s="1"/>
  <c r="LQX53" i="7" s="1"/>
  <c r="LQY53" i="7" s="1"/>
  <c r="LQZ53" i="7" s="1"/>
  <c r="LRA53" i="7" s="1"/>
  <c r="LRB53" i="7" s="1"/>
  <c r="LRC53" i="7" s="1"/>
  <c r="LRD53" i="7" s="1"/>
  <c r="LRE53" i="7" s="1"/>
  <c r="LRF53" i="7" s="1"/>
  <c r="LRG53" i="7" s="1"/>
  <c r="LRH53" i="7" s="1"/>
  <c r="LRI53" i="7" s="1"/>
  <c r="LRJ53" i="7" s="1"/>
  <c r="LRK53" i="7" s="1"/>
  <c r="LRL53" i="7" s="1"/>
  <c r="LRM53" i="7" s="1"/>
  <c r="LRN53" i="7" s="1"/>
  <c r="LRO53" i="7" s="1"/>
  <c r="LRP53" i="7" s="1"/>
  <c r="LRQ53" i="7" s="1"/>
  <c r="LRR53" i="7" s="1"/>
  <c r="LRS53" i="7" s="1"/>
  <c r="LRT53" i="7" s="1"/>
  <c r="LRU53" i="7" s="1"/>
  <c r="LRV53" i="7" s="1"/>
  <c r="LRW53" i="7" s="1"/>
  <c r="LRX53" i="7" s="1"/>
  <c r="LRY53" i="7" s="1"/>
  <c r="LRZ53" i="7" s="1"/>
  <c r="LSA53" i="7" s="1"/>
  <c r="LSB53" i="7" s="1"/>
  <c r="LSC53" i="7" s="1"/>
  <c r="LSD53" i="7" s="1"/>
  <c r="LSE53" i="7" s="1"/>
  <c r="LSF53" i="7" s="1"/>
  <c r="LSG53" i="7" s="1"/>
  <c r="LSH53" i="7" s="1"/>
  <c r="LSI53" i="7" s="1"/>
  <c r="LSJ53" i="7" s="1"/>
  <c r="LSK53" i="7" s="1"/>
  <c r="LSL53" i="7" s="1"/>
  <c r="LSM53" i="7" s="1"/>
  <c r="LSN53" i="7" s="1"/>
  <c r="LSO53" i="7" s="1"/>
  <c r="LSP53" i="7" s="1"/>
  <c r="LSQ53" i="7" s="1"/>
  <c r="LSR53" i="7" s="1"/>
  <c r="LSS53" i="7" s="1"/>
  <c r="LST53" i="7" s="1"/>
  <c r="LSU53" i="7" s="1"/>
  <c r="LSV53" i="7" s="1"/>
  <c r="LSW53" i="7" s="1"/>
  <c r="LSX53" i="7" s="1"/>
  <c r="LSY53" i="7" s="1"/>
  <c r="LSZ53" i="7" s="1"/>
  <c r="LTA53" i="7" s="1"/>
  <c r="LTB53" i="7" s="1"/>
  <c r="LTC53" i="7" s="1"/>
  <c r="LTD53" i="7" s="1"/>
  <c r="LTE53" i="7" s="1"/>
  <c r="LTF53" i="7" s="1"/>
  <c r="LTG53" i="7" s="1"/>
  <c r="LTH53" i="7" s="1"/>
  <c r="LTI53" i="7" s="1"/>
  <c r="LTJ53" i="7" s="1"/>
  <c r="LTK53" i="7" s="1"/>
  <c r="LTL53" i="7" s="1"/>
  <c r="LTM53" i="7" s="1"/>
  <c r="LTN53" i="7" s="1"/>
  <c r="LTO53" i="7" s="1"/>
  <c r="LTP53" i="7" s="1"/>
  <c r="LTQ53" i="7" s="1"/>
  <c r="LTR53" i="7" s="1"/>
  <c r="LTS53" i="7" s="1"/>
  <c r="LTT53" i="7" s="1"/>
  <c r="LTU53" i="7" s="1"/>
  <c r="LTV53" i="7" s="1"/>
  <c r="LTW53" i="7" s="1"/>
  <c r="LTX53" i="7" s="1"/>
  <c r="LTY53" i="7" s="1"/>
  <c r="LTZ53" i="7" s="1"/>
  <c r="LUA53" i="7" s="1"/>
  <c r="LUB53" i="7" s="1"/>
  <c r="LUC53" i="7" s="1"/>
  <c r="LUD53" i="7" s="1"/>
  <c r="LUE53" i="7" s="1"/>
  <c r="LUF53" i="7" s="1"/>
  <c r="LUG53" i="7" s="1"/>
  <c r="LUH53" i="7" s="1"/>
  <c r="LUI53" i="7" s="1"/>
  <c r="LUJ53" i="7" s="1"/>
  <c r="LUK53" i="7" s="1"/>
  <c r="LUL53" i="7" s="1"/>
  <c r="LUM53" i="7" s="1"/>
  <c r="LUN53" i="7" s="1"/>
  <c r="LUO53" i="7" s="1"/>
  <c r="LUP53" i="7" s="1"/>
  <c r="LUQ53" i="7" s="1"/>
  <c r="LUR53" i="7" s="1"/>
  <c r="LUS53" i="7" s="1"/>
  <c r="LUT53" i="7" s="1"/>
  <c r="LUU53" i="7" s="1"/>
  <c r="LUV53" i="7" s="1"/>
  <c r="LUW53" i="7" s="1"/>
  <c r="LUX53" i="7" s="1"/>
  <c r="LUY53" i="7" s="1"/>
  <c r="LUZ53" i="7" s="1"/>
  <c r="LVA53" i="7" s="1"/>
  <c r="LVB53" i="7" s="1"/>
  <c r="LVC53" i="7" s="1"/>
  <c r="LVD53" i="7" s="1"/>
  <c r="LVE53" i="7" s="1"/>
  <c r="LVF53" i="7" s="1"/>
  <c r="LVG53" i="7" s="1"/>
  <c r="LVH53" i="7" s="1"/>
  <c r="LVI53" i="7" s="1"/>
  <c r="LVJ53" i="7" s="1"/>
  <c r="LVK53" i="7" s="1"/>
  <c r="LVL53" i="7" s="1"/>
  <c r="LVM53" i="7" s="1"/>
  <c r="LVN53" i="7" s="1"/>
  <c r="LVO53" i="7" s="1"/>
  <c r="LVP53" i="7" s="1"/>
  <c r="LVQ53" i="7" s="1"/>
  <c r="LVR53" i="7" s="1"/>
  <c r="LVS53" i="7" s="1"/>
  <c r="LVT53" i="7" s="1"/>
  <c r="LVU53" i="7" s="1"/>
  <c r="LVV53" i="7" s="1"/>
  <c r="LVW53" i="7" s="1"/>
  <c r="LVX53" i="7" s="1"/>
  <c r="LVY53" i="7" s="1"/>
  <c r="LVZ53" i="7" s="1"/>
  <c r="LWA53" i="7" s="1"/>
  <c r="LWB53" i="7" s="1"/>
  <c r="LWC53" i="7" s="1"/>
  <c r="LWD53" i="7" s="1"/>
  <c r="LWE53" i="7" s="1"/>
  <c r="LWF53" i="7" s="1"/>
  <c r="LWG53" i="7" s="1"/>
  <c r="LWH53" i="7" s="1"/>
  <c r="LWI53" i="7" s="1"/>
  <c r="LWJ53" i="7" s="1"/>
  <c r="LWK53" i="7" s="1"/>
  <c r="LWL53" i="7" s="1"/>
  <c r="LWM53" i="7" s="1"/>
  <c r="LWN53" i="7" s="1"/>
  <c r="LWO53" i="7" s="1"/>
  <c r="LWP53" i="7" s="1"/>
  <c r="LWQ53" i="7" s="1"/>
  <c r="LWR53" i="7" s="1"/>
  <c r="LWS53" i="7" s="1"/>
  <c r="LWT53" i="7" s="1"/>
  <c r="LWU53" i="7" s="1"/>
  <c r="LWV53" i="7" s="1"/>
  <c r="LWW53" i="7" s="1"/>
  <c r="LWX53" i="7" s="1"/>
  <c r="LWY53" i="7" s="1"/>
  <c r="LWZ53" i="7" s="1"/>
  <c r="LXA53" i="7" s="1"/>
  <c r="LXB53" i="7" s="1"/>
  <c r="LXC53" i="7" s="1"/>
  <c r="LXD53" i="7" s="1"/>
  <c r="LXE53" i="7" s="1"/>
  <c r="LXF53" i="7" s="1"/>
  <c r="LXG53" i="7" s="1"/>
  <c r="LXH53" i="7" s="1"/>
  <c r="LXI53" i="7" s="1"/>
  <c r="LXJ53" i="7" s="1"/>
  <c r="LXK53" i="7" s="1"/>
  <c r="LXL53" i="7" s="1"/>
  <c r="LXM53" i="7" s="1"/>
  <c r="LXN53" i="7" s="1"/>
  <c r="LXO53" i="7" s="1"/>
  <c r="LXP53" i="7" s="1"/>
  <c r="LXQ53" i="7" s="1"/>
  <c r="LXR53" i="7" s="1"/>
  <c r="LXS53" i="7" s="1"/>
  <c r="LXT53" i="7" s="1"/>
  <c r="LXU53" i="7" s="1"/>
  <c r="LXV53" i="7" s="1"/>
  <c r="LXW53" i="7" s="1"/>
  <c r="LXX53" i="7" s="1"/>
  <c r="LXY53" i="7" s="1"/>
  <c r="LXZ53" i="7" s="1"/>
  <c r="LYA53" i="7" s="1"/>
  <c r="LYB53" i="7" s="1"/>
  <c r="LYC53" i="7" s="1"/>
  <c r="LYD53" i="7" s="1"/>
  <c r="LYE53" i="7" s="1"/>
  <c r="LYF53" i="7" s="1"/>
  <c r="LYG53" i="7" s="1"/>
  <c r="LYH53" i="7" s="1"/>
  <c r="LYI53" i="7" s="1"/>
  <c r="LYJ53" i="7" s="1"/>
  <c r="LYK53" i="7" s="1"/>
  <c r="LYL53" i="7" s="1"/>
  <c r="LYM53" i="7" s="1"/>
  <c r="LYN53" i="7" s="1"/>
  <c r="LYO53" i="7" s="1"/>
  <c r="LYP53" i="7" s="1"/>
  <c r="LYQ53" i="7" s="1"/>
  <c r="LYR53" i="7" s="1"/>
  <c r="LYS53" i="7" s="1"/>
  <c r="LYT53" i="7" s="1"/>
  <c r="LYU53" i="7" s="1"/>
  <c r="LYV53" i="7" s="1"/>
  <c r="LYW53" i="7" s="1"/>
  <c r="LYX53" i="7" s="1"/>
  <c r="LYY53" i="7" s="1"/>
  <c r="LYZ53" i="7" s="1"/>
  <c r="LZA53" i="7" s="1"/>
  <c r="LZB53" i="7" s="1"/>
  <c r="LZC53" i="7" s="1"/>
  <c r="LZD53" i="7" s="1"/>
  <c r="LZE53" i="7" s="1"/>
  <c r="LZF53" i="7" s="1"/>
  <c r="LZG53" i="7" s="1"/>
  <c r="LZH53" i="7" s="1"/>
  <c r="LZI53" i="7" s="1"/>
  <c r="LZJ53" i="7" s="1"/>
  <c r="LZK53" i="7" s="1"/>
  <c r="LZL53" i="7" s="1"/>
  <c r="LZM53" i="7" s="1"/>
  <c r="LZN53" i="7" s="1"/>
  <c r="LZO53" i="7" s="1"/>
  <c r="LZP53" i="7" s="1"/>
  <c r="LZQ53" i="7" s="1"/>
  <c r="LZR53" i="7" s="1"/>
  <c r="LZS53" i="7" s="1"/>
  <c r="LZT53" i="7" s="1"/>
  <c r="LZU53" i="7" s="1"/>
  <c r="LZV53" i="7" s="1"/>
  <c r="LZW53" i="7" s="1"/>
  <c r="LZX53" i="7" s="1"/>
  <c r="LZY53" i="7" s="1"/>
  <c r="LZZ53" i="7" s="1"/>
  <c r="MAA53" i="7" s="1"/>
  <c r="MAB53" i="7" s="1"/>
  <c r="MAC53" i="7" s="1"/>
  <c r="MAD53" i="7" s="1"/>
  <c r="MAE53" i="7" s="1"/>
  <c r="MAF53" i="7" s="1"/>
  <c r="MAG53" i="7" s="1"/>
  <c r="MAH53" i="7" s="1"/>
  <c r="MAI53" i="7" s="1"/>
  <c r="MAJ53" i="7" s="1"/>
  <c r="MAK53" i="7" s="1"/>
  <c r="MAL53" i="7" s="1"/>
  <c r="MAM53" i="7" s="1"/>
  <c r="MAN53" i="7" s="1"/>
  <c r="MAO53" i="7" s="1"/>
  <c r="MAP53" i="7" s="1"/>
  <c r="MAQ53" i="7" s="1"/>
  <c r="MAR53" i="7" s="1"/>
  <c r="MAS53" i="7" s="1"/>
  <c r="MAT53" i="7" s="1"/>
  <c r="MAU53" i="7" s="1"/>
  <c r="MAV53" i="7" s="1"/>
  <c r="MAW53" i="7" s="1"/>
  <c r="MAX53" i="7" s="1"/>
  <c r="MAY53" i="7" s="1"/>
  <c r="MAZ53" i="7" s="1"/>
  <c r="MBA53" i="7" s="1"/>
  <c r="MBB53" i="7" s="1"/>
  <c r="MBC53" i="7" s="1"/>
  <c r="MBD53" i="7" s="1"/>
  <c r="MBE53" i="7" s="1"/>
  <c r="MBF53" i="7" s="1"/>
  <c r="MBG53" i="7" s="1"/>
  <c r="MBH53" i="7" s="1"/>
  <c r="MBI53" i="7" s="1"/>
  <c r="MBJ53" i="7" s="1"/>
  <c r="MBK53" i="7" s="1"/>
  <c r="MBL53" i="7" s="1"/>
  <c r="MBM53" i="7" s="1"/>
  <c r="MBN53" i="7" s="1"/>
  <c r="MBO53" i="7" s="1"/>
  <c r="MBP53" i="7" s="1"/>
  <c r="MBQ53" i="7" s="1"/>
  <c r="MBR53" i="7" s="1"/>
  <c r="MBS53" i="7" s="1"/>
  <c r="MBT53" i="7" s="1"/>
  <c r="MBU53" i="7" s="1"/>
  <c r="MBV53" i="7" s="1"/>
  <c r="MBW53" i="7" s="1"/>
  <c r="MBX53" i="7" s="1"/>
  <c r="MBY53" i="7" s="1"/>
  <c r="MBZ53" i="7" s="1"/>
  <c r="MCA53" i="7" s="1"/>
  <c r="MCB53" i="7" s="1"/>
  <c r="MCC53" i="7" s="1"/>
  <c r="MCD53" i="7" s="1"/>
  <c r="MCE53" i="7" s="1"/>
  <c r="MCF53" i="7" s="1"/>
  <c r="MCG53" i="7" s="1"/>
  <c r="MCH53" i="7" s="1"/>
  <c r="MCI53" i="7" s="1"/>
  <c r="MCJ53" i="7" s="1"/>
  <c r="MCK53" i="7" s="1"/>
  <c r="MCL53" i="7" s="1"/>
  <c r="MCM53" i="7" s="1"/>
  <c r="MCN53" i="7" s="1"/>
  <c r="MCO53" i="7" s="1"/>
  <c r="MCP53" i="7" s="1"/>
  <c r="MCQ53" i="7" s="1"/>
  <c r="MCR53" i="7" s="1"/>
  <c r="MCS53" i="7" s="1"/>
  <c r="MCT53" i="7" s="1"/>
  <c r="MCU53" i="7" s="1"/>
  <c r="MCV53" i="7" s="1"/>
  <c r="MCW53" i="7" s="1"/>
  <c r="MCX53" i="7" s="1"/>
  <c r="MCY53" i="7" s="1"/>
  <c r="MCZ53" i="7" s="1"/>
  <c r="MDA53" i="7" s="1"/>
  <c r="MDB53" i="7" s="1"/>
  <c r="MDC53" i="7" s="1"/>
  <c r="MDD53" i="7" s="1"/>
  <c r="MDE53" i="7" s="1"/>
  <c r="MDF53" i="7" s="1"/>
  <c r="MDG53" i="7" s="1"/>
  <c r="MDH53" i="7" s="1"/>
  <c r="MDI53" i="7" s="1"/>
  <c r="MDJ53" i="7" s="1"/>
  <c r="MDK53" i="7" s="1"/>
  <c r="MDL53" i="7" s="1"/>
  <c r="MDM53" i="7" s="1"/>
  <c r="MDN53" i="7" s="1"/>
  <c r="MDO53" i="7" s="1"/>
  <c r="MDP53" i="7" s="1"/>
  <c r="MDQ53" i="7" s="1"/>
  <c r="MDR53" i="7" s="1"/>
  <c r="MDS53" i="7" s="1"/>
  <c r="MDT53" i="7" s="1"/>
  <c r="MDU53" i="7" s="1"/>
  <c r="MDV53" i="7" s="1"/>
  <c r="MDW53" i="7" s="1"/>
  <c r="MDX53" i="7" s="1"/>
  <c r="MDY53" i="7" s="1"/>
  <c r="MDZ53" i="7" s="1"/>
  <c r="MEA53" i="7" s="1"/>
  <c r="MEB53" i="7" s="1"/>
  <c r="MEC53" i="7" s="1"/>
  <c r="MED53" i="7" s="1"/>
  <c r="MEE53" i="7" s="1"/>
  <c r="MEF53" i="7" s="1"/>
  <c r="MEG53" i="7" s="1"/>
  <c r="MEH53" i="7" s="1"/>
  <c r="MEI53" i="7" s="1"/>
  <c r="MEJ53" i="7" s="1"/>
  <c r="MEK53" i="7" s="1"/>
  <c r="MEL53" i="7" s="1"/>
  <c r="MEM53" i="7" s="1"/>
  <c r="MEN53" i="7" s="1"/>
  <c r="MEO53" i="7" s="1"/>
  <c r="MEP53" i="7" s="1"/>
  <c r="MEQ53" i="7" s="1"/>
  <c r="MER53" i="7" s="1"/>
  <c r="MES53" i="7" s="1"/>
  <c r="MET53" i="7" s="1"/>
  <c r="MEU53" i="7" s="1"/>
  <c r="MEV53" i="7" s="1"/>
  <c r="MEW53" i="7" s="1"/>
  <c r="MEX53" i="7" s="1"/>
  <c r="MEY53" i="7" s="1"/>
  <c r="MEZ53" i="7" s="1"/>
  <c r="MFA53" i="7" s="1"/>
  <c r="MFB53" i="7" s="1"/>
  <c r="MFC53" i="7" s="1"/>
  <c r="MFD53" i="7" s="1"/>
  <c r="MFE53" i="7" s="1"/>
  <c r="MFF53" i="7" s="1"/>
  <c r="MFG53" i="7" s="1"/>
  <c r="MFH53" i="7" s="1"/>
  <c r="MFI53" i="7" s="1"/>
  <c r="MFJ53" i="7" s="1"/>
  <c r="MFK53" i="7" s="1"/>
  <c r="MFL53" i="7" s="1"/>
  <c r="MFM53" i="7" s="1"/>
  <c r="MFN53" i="7" s="1"/>
  <c r="MFO53" i="7" s="1"/>
  <c r="MFP53" i="7" s="1"/>
  <c r="MFQ53" i="7" s="1"/>
  <c r="MFR53" i="7" s="1"/>
  <c r="MFS53" i="7" s="1"/>
  <c r="MFT53" i="7" s="1"/>
  <c r="MFU53" i="7" s="1"/>
  <c r="MFV53" i="7" s="1"/>
  <c r="MFW53" i="7" s="1"/>
  <c r="MFX53" i="7" s="1"/>
  <c r="MFY53" i="7" s="1"/>
  <c r="MFZ53" i="7" s="1"/>
  <c r="MGA53" i="7" s="1"/>
  <c r="MGB53" i="7" s="1"/>
  <c r="MGC53" i="7" s="1"/>
  <c r="MGD53" i="7" s="1"/>
  <c r="MGE53" i="7" s="1"/>
  <c r="MGF53" i="7" s="1"/>
  <c r="MGG53" i="7" s="1"/>
  <c r="MGH53" i="7" s="1"/>
  <c r="MGI53" i="7" s="1"/>
  <c r="MGJ53" i="7" s="1"/>
  <c r="MGK53" i="7" s="1"/>
  <c r="MGL53" i="7" s="1"/>
  <c r="MGM53" i="7" s="1"/>
  <c r="MGN53" i="7" s="1"/>
  <c r="MGO53" i="7" s="1"/>
  <c r="MGP53" i="7" s="1"/>
  <c r="MGQ53" i="7" s="1"/>
  <c r="MGR53" i="7" s="1"/>
  <c r="MGS53" i="7" s="1"/>
  <c r="MGT53" i="7" s="1"/>
  <c r="MGU53" i="7" s="1"/>
  <c r="MGV53" i="7" s="1"/>
  <c r="MGW53" i="7" s="1"/>
  <c r="MGX53" i="7" s="1"/>
  <c r="MGY53" i="7" s="1"/>
  <c r="MGZ53" i="7" s="1"/>
  <c r="MHA53" i="7" s="1"/>
  <c r="MHB53" i="7" s="1"/>
  <c r="MHC53" i="7" s="1"/>
  <c r="MHD53" i="7" s="1"/>
  <c r="MHE53" i="7" s="1"/>
  <c r="MHF53" i="7" s="1"/>
  <c r="MHG53" i="7" s="1"/>
  <c r="MHH53" i="7" s="1"/>
  <c r="MHI53" i="7" s="1"/>
  <c r="MHJ53" i="7" s="1"/>
  <c r="MHK53" i="7" s="1"/>
  <c r="MHL53" i="7" s="1"/>
  <c r="MHM53" i="7" s="1"/>
  <c r="MHN53" i="7" s="1"/>
  <c r="MHO53" i="7" s="1"/>
  <c r="MHP53" i="7" s="1"/>
  <c r="MHQ53" i="7" s="1"/>
  <c r="MHR53" i="7" s="1"/>
  <c r="MHS53" i="7" s="1"/>
  <c r="MHT53" i="7" s="1"/>
  <c r="MHU53" i="7" s="1"/>
  <c r="MHV53" i="7" s="1"/>
  <c r="MHW53" i="7" s="1"/>
  <c r="MHX53" i="7" s="1"/>
  <c r="MHY53" i="7" s="1"/>
  <c r="MHZ53" i="7" s="1"/>
  <c r="MIA53" i="7" s="1"/>
  <c r="MIB53" i="7" s="1"/>
  <c r="MIC53" i="7" s="1"/>
  <c r="MID53" i="7" s="1"/>
  <c r="MIE53" i="7" s="1"/>
  <c r="MIF53" i="7" s="1"/>
  <c r="MIG53" i="7" s="1"/>
  <c r="MIH53" i="7" s="1"/>
  <c r="MII53" i="7" s="1"/>
  <c r="MIJ53" i="7" s="1"/>
  <c r="MIK53" i="7" s="1"/>
  <c r="MIL53" i="7" s="1"/>
  <c r="MIM53" i="7" s="1"/>
  <c r="MIN53" i="7" s="1"/>
  <c r="MIO53" i="7" s="1"/>
  <c r="MIP53" i="7" s="1"/>
  <c r="MIQ53" i="7" s="1"/>
  <c r="MIR53" i="7" s="1"/>
  <c r="MIS53" i="7" s="1"/>
  <c r="MIT53" i="7" s="1"/>
  <c r="MIU53" i="7" s="1"/>
  <c r="MIV53" i="7" s="1"/>
  <c r="MIW53" i="7" s="1"/>
  <c r="MIX53" i="7" s="1"/>
  <c r="MIY53" i="7" s="1"/>
  <c r="MIZ53" i="7" s="1"/>
  <c r="MJA53" i="7" s="1"/>
  <c r="MJB53" i="7" s="1"/>
  <c r="MJC53" i="7" s="1"/>
  <c r="MJD53" i="7" s="1"/>
  <c r="MJE53" i="7" s="1"/>
  <c r="MJF53" i="7" s="1"/>
  <c r="MJG53" i="7" s="1"/>
  <c r="MJH53" i="7" s="1"/>
  <c r="MJI53" i="7" s="1"/>
  <c r="MJJ53" i="7" s="1"/>
  <c r="MJK53" i="7" s="1"/>
  <c r="MJL53" i="7" s="1"/>
  <c r="MJM53" i="7" s="1"/>
  <c r="MJN53" i="7" s="1"/>
  <c r="MJO53" i="7" s="1"/>
  <c r="MJP53" i="7" s="1"/>
  <c r="MJQ53" i="7" s="1"/>
  <c r="MJR53" i="7" s="1"/>
  <c r="MJS53" i="7" s="1"/>
  <c r="MJT53" i="7" s="1"/>
  <c r="MJU53" i="7" s="1"/>
  <c r="MJV53" i="7" s="1"/>
  <c r="MJW53" i="7" s="1"/>
  <c r="MJX53" i="7" s="1"/>
  <c r="MJY53" i="7" s="1"/>
  <c r="MJZ53" i="7" s="1"/>
  <c r="MKA53" i="7" s="1"/>
  <c r="MKB53" i="7" s="1"/>
  <c r="MKC53" i="7" s="1"/>
  <c r="MKD53" i="7" s="1"/>
  <c r="MKE53" i="7" s="1"/>
  <c r="MKF53" i="7" s="1"/>
  <c r="MKG53" i="7" s="1"/>
  <c r="MKH53" i="7" s="1"/>
  <c r="MKI53" i="7" s="1"/>
  <c r="MKJ53" i="7" s="1"/>
  <c r="MKK53" i="7" s="1"/>
  <c r="MKL53" i="7" s="1"/>
  <c r="MKM53" i="7" s="1"/>
  <c r="MKN53" i="7" s="1"/>
  <c r="MKO53" i="7" s="1"/>
  <c r="MKP53" i="7" s="1"/>
  <c r="MKQ53" i="7" s="1"/>
  <c r="MKR53" i="7" s="1"/>
  <c r="MKS53" i="7" s="1"/>
  <c r="MKT53" i="7" s="1"/>
  <c r="MKU53" i="7" s="1"/>
  <c r="MKV53" i="7" s="1"/>
  <c r="MKW53" i="7" s="1"/>
  <c r="MKX53" i="7" s="1"/>
  <c r="MKY53" i="7" s="1"/>
  <c r="MKZ53" i="7" s="1"/>
  <c r="MLA53" i="7" s="1"/>
  <c r="MLB53" i="7" s="1"/>
  <c r="MLC53" i="7" s="1"/>
  <c r="MLD53" i="7" s="1"/>
  <c r="MLE53" i="7" s="1"/>
  <c r="MLF53" i="7" s="1"/>
  <c r="MLG53" i="7" s="1"/>
  <c r="MLH53" i="7" s="1"/>
  <c r="MLI53" i="7" s="1"/>
  <c r="MLJ53" i="7" s="1"/>
  <c r="MLK53" i="7" s="1"/>
  <c r="MLL53" i="7" s="1"/>
  <c r="MLM53" i="7" s="1"/>
  <c r="MLN53" i="7" s="1"/>
  <c r="MLO53" i="7" s="1"/>
  <c r="MLP53" i="7" s="1"/>
  <c r="MLQ53" i="7" s="1"/>
  <c r="MLR53" i="7" s="1"/>
  <c r="MLS53" i="7" s="1"/>
  <c r="MLT53" i="7" s="1"/>
  <c r="MLU53" i="7" s="1"/>
  <c r="MLV53" i="7" s="1"/>
  <c r="MLW53" i="7" s="1"/>
  <c r="MLX53" i="7" s="1"/>
  <c r="MLY53" i="7" s="1"/>
  <c r="MLZ53" i="7" s="1"/>
  <c r="MMA53" i="7" s="1"/>
  <c r="MMB53" i="7" s="1"/>
  <c r="MMC53" i="7" s="1"/>
  <c r="MMD53" i="7" s="1"/>
  <c r="MME53" i="7" s="1"/>
  <c r="MMF53" i="7" s="1"/>
  <c r="MMG53" i="7" s="1"/>
  <c r="MMH53" i="7" s="1"/>
  <c r="MMI53" i="7" s="1"/>
  <c r="MMJ53" i="7" s="1"/>
  <c r="MMK53" i="7" s="1"/>
  <c r="MML53" i="7" s="1"/>
  <c r="MMM53" i="7" s="1"/>
  <c r="MMN53" i="7" s="1"/>
  <c r="MMO53" i="7" s="1"/>
  <c r="MMP53" i="7" s="1"/>
  <c r="MMQ53" i="7" s="1"/>
  <c r="MMR53" i="7" s="1"/>
  <c r="MMS53" i="7" s="1"/>
  <c r="MMT53" i="7" s="1"/>
  <c r="MMU53" i="7" s="1"/>
  <c r="MMV53" i="7" s="1"/>
  <c r="MMW53" i="7" s="1"/>
  <c r="MMX53" i="7" s="1"/>
  <c r="MMY53" i="7" s="1"/>
  <c r="MMZ53" i="7" s="1"/>
  <c r="MNA53" i="7" s="1"/>
  <c r="MNB53" i="7" s="1"/>
  <c r="MNC53" i="7" s="1"/>
  <c r="MND53" i="7" s="1"/>
  <c r="MNE53" i="7" s="1"/>
  <c r="MNF53" i="7" s="1"/>
  <c r="MNG53" i="7" s="1"/>
  <c r="MNH53" i="7" s="1"/>
  <c r="MNI53" i="7" s="1"/>
  <c r="MNJ53" i="7" s="1"/>
  <c r="MNK53" i="7" s="1"/>
  <c r="MNL53" i="7" s="1"/>
  <c r="MNM53" i="7" s="1"/>
  <c r="MNN53" i="7" s="1"/>
  <c r="MNO53" i="7" s="1"/>
  <c r="MNP53" i="7" s="1"/>
  <c r="MNQ53" i="7" s="1"/>
  <c r="MNR53" i="7" s="1"/>
  <c r="MNS53" i="7" s="1"/>
  <c r="MNT53" i="7" s="1"/>
  <c r="MNU53" i="7" s="1"/>
  <c r="MNV53" i="7" s="1"/>
  <c r="MNW53" i="7" s="1"/>
  <c r="MNX53" i="7" s="1"/>
  <c r="MNY53" i="7" s="1"/>
  <c r="MNZ53" i="7" s="1"/>
  <c r="MOA53" i="7" s="1"/>
  <c r="MOB53" i="7" s="1"/>
  <c r="MOC53" i="7" s="1"/>
  <c r="MOD53" i="7" s="1"/>
  <c r="MOE53" i="7" s="1"/>
  <c r="MOF53" i="7" s="1"/>
  <c r="MOG53" i="7" s="1"/>
  <c r="MOH53" i="7" s="1"/>
  <c r="MOI53" i="7" s="1"/>
  <c r="MOJ53" i="7" s="1"/>
  <c r="MOK53" i="7" s="1"/>
  <c r="MOL53" i="7" s="1"/>
  <c r="MOM53" i="7" s="1"/>
  <c r="MON53" i="7" s="1"/>
  <c r="MOO53" i="7" s="1"/>
  <c r="MOP53" i="7" s="1"/>
  <c r="MOQ53" i="7" s="1"/>
  <c r="MOR53" i="7" s="1"/>
  <c r="MOS53" i="7" s="1"/>
  <c r="MOT53" i="7" s="1"/>
  <c r="MOU53" i="7" s="1"/>
  <c r="MOV53" i="7" s="1"/>
  <c r="MOW53" i="7" s="1"/>
  <c r="MOX53" i="7" s="1"/>
  <c r="MOY53" i="7" s="1"/>
  <c r="MOZ53" i="7" s="1"/>
  <c r="MPA53" i="7" s="1"/>
  <c r="MPB53" i="7" s="1"/>
  <c r="MPC53" i="7" s="1"/>
  <c r="MPD53" i="7" s="1"/>
  <c r="MPE53" i="7" s="1"/>
  <c r="MPF53" i="7" s="1"/>
  <c r="MPG53" i="7" s="1"/>
  <c r="MPH53" i="7" s="1"/>
  <c r="MPI53" i="7" s="1"/>
  <c r="MPJ53" i="7" s="1"/>
  <c r="MPK53" i="7" s="1"/>
  <c r="MPL53" i="7" s="1"/>
  <c r="MPM53" i="7" s="1"/>
  <c r="MPN53" i="7" s="1"/>
  <c r="MPO53" i="7" s="1"/>
  <c r="MPP53" i="7" s="1"/>
  <c r="MPQ53" i="7" s="1"/>
  <c r="MPR53" i="7" s="1"/>
  <c r="MPS53" i="7" s="1"/>
  <c r="MPT53" i="7" s="1"/>
  <c r="MPU53" i="7" s="1"/>
  <c r="MPV53" i="7" s="1"/>
  <c r="MPW53" i="7" s="1"/>
  <c r="MPX53" i="7" s="1"/>
  <c r="MPY53" i="7" s="1"/>
  <c r="MPZ53" i="7" s="1"/>
  <c r="MQA53" i="7" s="1"/>
  <c r="MQB53" i="7" s="1"/>
  <c r="MQC53" i="7" s="1"/>
  <c r="MQD53" i="7" s="1"/>
  <c r="MQE53" i="7" s="1"/>
  <c r="MQF53" i="7" s="1"/>
  <c r="MQG53" i="7" s="1"/>
  <c r="MQH53" i="7" s="1"/>
  <c r="MQI53" i="7" s="1"/>
  <c r="MQJ53" i="7" s="1"/>
  <c r="MQK53" i="7" s="1"/>
  <c r="MQL53" i="7" s="1"/>
  <c r="MQM53" i="7" s="1"/>
  <c r="MQN53" i="7" s="1"/>
  <c r="MQO53" i="7" s="1"/>
  <c r="MQP53" i="7" s="1"/>
  <c r="MQQ53" i="7" s="1"/>
  <c r="MQR53" i="7" s="1"/>
  <c r="MQS53" i="7" s="1"/>
  <c r="MQT53" i="7" s="1"/>
  <c r="MQU53" i="7" s="1"/>
  <c r="MQV53" i="7" s="1"/>
  <c r="MQW53" i="7" s="1"/>
  <c r="MQX53" i="7" s="1"/>
  <c r="MQY53" i="7" s="1"/>
  <c r="MQZ53" i="7" s="1"/>
  <c r="MRA53" i="7" s="1"/>
  <c r="MRB53" i="7" s="1"/>
  <c r="MRC53" i="7" s="1"/>
  <c r="MRD53" i="7" s="1"/>
  <c r="MRE53" i="7" s="1"/>
  <c r="MRF53" i="7" s="1"/>
  <c r="MRG53" i="7" s="1"/>
  <c r="MRH53" i="7" s="1"/>
  <c r="MRI53" i="7" s="1"/>
  <c r="MRJ53" i="7" s="1"/>
  <c r="MRK53" i="7" s="1"/>
  <c r="MRL53" i="7" s="1"/>
  <c r="MRM53" i="7" s="1"/>
  <c r="MRN53" i="7" s="1"/>
  <c r="MRO53" i="7" s="1"/>
  <c r="MRP53" i="7" s="1"/>
  <c r="MRQ53" i="7" s="1"/>
  <c r="MRR53" i="7" s="1"/>
  <c r="MRS53" i="7" s="1"/>
  <c r="MRT53" i="7" s="1"/>
  <c r="MRU53" i="7" s="1"/>
  <c r="MRV53" i="7" s="1"/>
  <c r="MRW53" i="7" s="1"/>
  <c r="MRX53" i="7" s="1"/>
  <c r="MRY53" i="7" s="1"/>
  <c r="MRZ53" i="7" s="1"/>
  <c r="MSA53" i="7" s="1"/>
  <c r="MSB53" i="7" s="1"/>
  <c r="MSC53" i="7" s="1"/>
  <c r="MSD53" i="7" s="1"/>
  <c r="MSE53" i="7" s="1"/>
  <c r="MSF53" i="7" s="1"/>
  <c r="MSG53" i="7" s="1"/>
  <c r="MSH53" i="7" s="1"/>
  <c r="MSI53" i="7" s="1"/>
  <c r="MSJ53" i="7" s="1"/>
  <c r="MSK53" i="7" s="1"/>
  <c r="MSL53" i="7" s="1"/>
  <c r="MSM53" i="7" s="1"/>
  <c r="MSN53" i="7" s="1"/>
  <c r="MSO53" i="7" s="1"/>
  <c r="MSP53" i="7" s="1"/>
  <c r="MSQ53" i="7" s="1"/>
  <c r="MSR53" i="7" s="1"/>
  <c r="MSS53" i="7" s="1"/>
  <c r="MST53" i="7" s="1"/>
  <c r="MSU53" i="7" s="1"/>
  <c r="MSV53" i="7" s="1"/>
  <c r="MSW53" i="7" s="1"/>
  <c r="MSX53" i="7" s="1"/>
  <c r="MSY53" i="7" s="1"/>
  <c r="MSZ53" i="7" s="1"/>
  <c r="MTA53" i="7" s="1"/>
  <c r="MTB53" i="7" s="1"/>
  <c r="MTC53" i="7" s="1"/>
  <c r="MTD53" i="7" s="1"/>
  <c r="MTE53" i="7" s="1"/>
  <c r="MTF53" i="7" s="1"/>
  <c r="MTG53" i="7" s="1"/>
  <c r="MTH53" i="7" s="1"/>
  <c r="MTI53" i="7" s="1"/>
  <c r="MTJ53" i="7" s="1"/>
  <c r="MTK53" i="7" s="1"/>
  <c r="MTL53" i="7" s="1"/>
  <c r="MTM53" i="7" s="1"/>
  <c r="MTN53" i="7" s="1"/>
  <c r="MTO53" i="7" s="1"/>
  <c r="MTP53" i="7" s="1"/>
  <c r="MTQ53" i="7" s="1"/>
  <c r="MTR53" i="7" s="1"/>
  <c r="MTS53" i="7" s="1"/>
  <c r="MTT53" i="7" s="1"/>
  <c r="MTU53" i="7" s="1"/>
  <c r="MTV53" i="7" s="1"/>
  <c r="MTW53" i="7" s="1"/>
  <c r="MTX53" i="7" s="1"/>
  <c r="MTY53" i="7" s="1"/>
  <c r="MTZ53" i="7" s="1"/>
  <c r="MUA53" i="7" s="1"/>
  <c r="MUB53" i="7" s="1"/>
  <c r="MUC53" i="7" s="1"/>
  <c r="MUD53" i="7" s="1"/>
  <c r="MUE53" i="7" s="1"/>
  <c r="MUF53" i="7" s="1"/>
  <c r="MUG53" i="7" s="1"/>
  <c r="MUH53" i="7" s="1"/>
  <c r="MUI53" i="7" s="1"/>
  <c r="MUJ53" i="7" s="1"/>
  <c r="MUK53" i="7" s="1"/>
  <c r="MUL53" i="7" s="1"/>
  <c r="MUM53" i="7" s="1"/>
  <c r="MUN53" i="7" s="1"/>
  <c r="MUO53" i="7" s="1"/>
  <c r="MUP53" i="7" s="1"/>
  <c r="MUQ53" i="7" s="1"/>
  <c r="MUR53" i="7" s="1"/>
  <c r="MUS53" i="7" s="1"/>
  <c r="MUT53" i="7" s="1"/>
  <c r="MUU53" i="7" s="1"/>
  <c r="MUV53" i="7" s="1"/>
  <c r="MUW53" i="7" s="1"/>
  <c r="MUX53" i="7" s="1"/>
  <c r="MUY53" i="7" s="1"/>
  <c r="MUZ53" i="7" s="1"/>
  <c r="MVA53" i="7" s="1"/>
  <c r="MVB53" i="7" s="1"/>
  <c r="MVC53" i="7" s="1"/>
  <c r="MVD53" i="7" s="1"/>
  <c r="MVE53" i="7" s="1"/>
  <c r="MVF53" i="7" s="1"/>
  <c r="MVG53" i="7" s="1"/>
  <c r="MVH53" i="7" s="1"/>
  <c r="MVI53" i="7" s="1"/>
  <c r="MVJ53" i="7" s="1"/>
  <c r="MVK53" i="7" s="1"/>
  <c r="MVL53" i="7" s="1"/>
  <c r="MVM53" i="7" s="1"/>
  <c r="MVN53" i="7" s="1"/>
  <c r="MVO53" i="7" s="1"/>
  <c r="MVP53" i="7" s="1"/>
  <c r="MVQ53" i="7" s="1"/>
  <c r="MVR53" i="7" s="1"/>
  <c r="MVS53" i="7" s="1"/>
  <c r="MVT53" i="7" s="1"/>
  <c r="MVU53" i="7" s="1"/>
  <c r="MVV53" i="7" s="1"/>
  <c r="MVW53" i="7" s="1"/>
  <c r="MVX53" i="7" s="1"/>
  <c r="MVY53" i="7" s="1"/>
  <c r="MVZ53" i="7" s="1"/>
  <c r="MWA53" i="7" s="1"/>
  <c r="MWB53" i="7" s="1"/>
  <c r="MWC53" i="7" s="1"/>
  <c r="MWD53" i="7" s="1"/>
  <c r="MWE53" i="7" s="1"/>
  <c r="MWF53" i="7" s="1"/>
  <c r="MWG53" i="7" s="1"/>
  <c r="MWH53" i="7" s="1"/>
  <c r="MWI53" i="7" s="1"/>
  <c r="MWJ53" i="7" s="1"/>
  <c r="MWK53" i="7" s="1"/>
  <c r="MWL53" i="7" s="1"/>
  <c r="MWM53" i="7" s="1"/>
  <c r="MWN53" i="7" s="1"/>
  <c r="MWO53" i="7" s="1"/>
  <c r="MWP53" i="7" s="1"/>
  <c r="MWQ53" i="7" s="1"/>
  <c r="MWR53" i="7" s="1"/>
  <c r="MWS53" i="7" s="1"/>
  <c r="MWT53" i="7" s="1"/>
  <c r="MWU53" i="7" s="1"/>
  <c r="MWV53" i="7" s="1"/>
  <c r="MWW53" i="7" s="1"/>
  <c r="MWX53" i="7" s="1"/>
  <c r="MWY53" i="7" s="1"/>
  <c r="MWZ53" i="7" s="1"/>
  <c r="MXA53" i="7" s="1"/>
  <c r="MXB53" i="7" s="1"/>
  <c r="MXC53" i="7" s="1"/>
  <c r="MXD53" i="7" s="1"/>
  <c r="MXE53" i="7" s="1"/>
  <c r="MXF53" i="7" s="1"/>
  <c r="MXG53" i="7" s="1"/>
  <c r="MXH53" i="7" s="1"/>
  <c r="MXI53" i="7" s="1"/>
  <c r="MXJ53" i="7" s="1"/>
  <c r="MXK53" i="7" s="1"/>
  <c r="MXL53" i="7" s="1"/>
  <c r="MXM53" i="7" s="1"/>
  <c r="MXN53" i="7" s="1"/>
  <c r="MXO53" i="7" s="1"/>
  <c r="MXP53" i="7" s="1"/>
  <c r="MXQ53" i="7" s="1"/>
  <c r="MXR53" i="7" s="1"/>
  <c r="MXS53" i="7" s="1"/>
  <c r="MXT53" i="7" s="1"/>
  <c r="MXU53" i="7" s="1"/>
  <c r="MXV53" i="7" s="1"/>
  <c r="MXW53" i="7" s="1"/>
  <c r="MXX53" i="7" s="1"/>
  <c r="MXY53" i="7" s="1"/>
  <c r="MXZ53" i="7" s="1"/>
  <c r="MYA53" i="7" s="1"/>
  <c r="MYB53" i="7" s="1"/>
  <c r="MYC53" i="7" s="1"/>
  <c r="MYD53" i="7" s="1"/>
  <c r="MYE53" i="7" s="1"/>
  <c r="MYF53" i="7" s="1"/>
  <c r="MYG53" i="7" s="1"/>
  <c r="MYH53" i="7" s="1"/>
  <c r="MYI53" i="7" s="1"/>
  <c r="MYJ53" i="7" s="1"/>
  <c r="MYK53" i="7" s="1"/>
  <c r="MYL53" i="7" s="1"/>
  <c r="MYM53" i="7" s="1"/>
  <c r="MYN53" i="7" s="1"/>
  <c r="MYO53" i="7" s="1"/>
  <c r="MYP53" i="7" s="1"/>
  <c r="MYQ53" i="7" s="1"/>
  <c r="MYR53" i="7" s="1"/>
  <c r="MYS53" i="7" s="1"/>
  <c r="MYT53" i="7" s="1"/>
  <c r="MYU53" i="7" s="1"/>
  <c r="MYV53" i="7" s="1"/>
  <c r="MYW53" i="7" s="1"/>
  <c r="MYX53" i="7" s="1"/>
  <c r="MYY53" i="7" s="1"/>
  <c r="MYZ53" i="7" s="1"/>
  <c r="MZA53" i="7" s="1"/>
  <c r="MZB53" i="7" s="1"/>
  <c r="MZC53" i="7" s="1"/>
  <c r="MZD53" i="7" s="1"/>
  <c r="MZE53" i="7" s="1"/>
  <c r="MZF53" i="7" s="1"/>
  <c r="MZG53" i="7" s="1"/>
  <c r="MZH53" i="7" s="1"/>
  <c r="MZI53" i="7" s="1"/>
  <c r="MZJ53" i="7" s="1"/>
  <c r="MZK53" i="7" s="1"/>
  <c r="MZL53" i="7" s="1"/>
  <c r="MZM53" i="7" s="1"/>
  <c r="MZN53" i="7" s="1"/>
  <c r="MZO53" i="7" s="1"/>
  <c r="MZP53" i="7" s="1"/>
  <c r="MZQ53" i="7" s="1"/>
  <c r="MZR53" i="7" s="1"/>
  <c r="MZS53" i="7" s="1"/>
  <c r="MZT53" i="7" s="1"/>
  <c r="MZU53" i="7" s="1"/>
  <c r="MZV53" i="7" s="1"/>
  <c r="MZW53" i="7" s="1"/>
  <c r="MZX53" i="7" s="1"/>
  <c r="MZY53" i="7" s="1"/>
  <c r="MZZ53" i="7" s="1"/>
  <c r="NAA53" i="7" s="1"/>
  <c r="NAB53" i="7" s="1"/>
  <c r="NAC53" i="7" s="1"/>
  <c r="NAD53" i="7" s="1"/>
  <c r="NAE53" i="7" s="1"/>
  <c r="NAF53" i="7" s="1"/>
  <c r="NAG53" i="7" s="1"/>
  <c r="NAH53" i="7" s="1"/>
  <c r="NAI53" i="7" s="1"/>
  <c r="NAJ53" i="7" s="1"/>
  <c r="NAK53" i="7" s="1"/>
  <c r="NAL53" i="7" s="1"/>
  <c r="NAM53" i="7" s="1"/>
  <c r="NAN53" i="7" s="1"/>
  <c r="NAO53" i="7" s="1"/>
  <c r="NAP53" i="7" s="1"/>
  <c r="NAQ53" i="7" s="1"/>
  <c r="NAR53" i="7" s="1"/>
  <c r="NAS53" i="7" s="1"/>
  <c r="NAT53" i="7" s="1"/>
  <c r="NAU53" i="7" s="1"/>
  <c r="NAV53" i="7" s="1"/>
  <c r="NAW53" i="7" s="1"/>
  <c r="NAX53" i="7" s="1"/>
  <c r="NAY53" i="7" s="1"/>
  <c r="NAZ53" i="7" s="1"/>
  <c r="NBA53" i="7" s="1"/>
  <c r="NBB53" i="7" s="1"/>
  <c r="NBC53" i="7" s="1"/>
  <c r="NBD53" i="7" s="1"/>
  <c r="NBE53" i="7" s="1"/>
  <c r="NBF53" i="7" s="1"/>
  <c r="NBG53" i="7" s="1"/>
  <c r="NBH53" i="7" s="1"/>
  <c r="NBI53" i="7" s="1"/>
  <c r="NBJ53" i="7" s="1"/>
  <c r="NBK53" i="7" s="1"/>
  <c r="NBL53" i="7" s="1"/>
  <c r="NBM53" i="7" s="1"/>
  <c r="NBN53" i="7" s="1"/>
  <c r="NBO53" i="7" s="1"/>
  <c r="NBP53" i="7" s="1"/>
  <c r="NBQ53" i="7" s="1"/>
  <c r="NBR53" i="7" s="1"/>
  <c r="NBS53" i="7" s="1"/>
  <c r="NBT53" i="7" s="1"/>
  <c r="NBU53" i="7" s="1"/>
  <c r="NBV53" i="7" s="1"/>
  <c r="NBW53" i="7" s="1"/>
  <c r="NBX53" i="7" s="1"/>
  <c r="NBY53" i="7" s="1"/>
  <c r="NBZ53" i="7" s="1"/>
  <c r="NCA53" i="7" s="1"/>
  <c r="NCB53" i="7" s="1"/>
  <c r="NCC53" i="7" s="1"/>
  <c r="NCD53" i="7" s="1"/>
  <c r="NCE53" i="7" s="1"/>
  <c r="NCF53" i="7" s="1"/>
  <c r="NCG53" i="7" s="1"/>
  <c r="NCH53" i="7" s="1"/>
  <c r="NCI53" i="7" s="1"/>
  <c r="NCJ53" i="7" s="1"/>
  <c r="NCK53" i="7" s="1"/>
  <c r="NCL53" i="7" s="1"/>
  <c r="NCM53" i="7" s="1"/>
  <c r="NCN53" i="7" s="1"/>
  <c r="NCO53" i="7" s="1"/>
  <c r="NCP53" i="7" s="1"/>
  <c r="NCQ53" i="7" s="1"/>
  <c r="NCR53" i="7" s="1"/>
  <c r="NCS53" i="7" s="1"/>
  <c r="NCT53" i="7" s="1"/>
  <c r="NCU53" i="7" s="1"/>
  <c r="NCV53" i="7" s="1"/>
  <c r="NCW53" i="7" s="1"/>
  <c r="NCX53" i="7" s="1"/>
  <c r="NCY53" i="7" s="1"/>
  <c r="NCZ53" i="7" s="1"/>
  <c r="NDA53" i="7" s="1"/>
  <c r="NDB53" i="7" s="1"/>
  <c r="NDC53" i="7" s="1"/>
  <c r="NDD53" i="7" s="1"/>
  <c r="NDE53" i="7" s="1"/>
  <c r="NDF53" i="7" s="1"/>
  <c r="NDG53" i="7" s="1"/>
  <c r="NDH53" i="7" s="1"/>
  <c r="NDI53" i="7" s="1"/>
  <c r="NDJ53" i="7" s="1"/>
  <c r="NDK53" i="7" s="1"/>
  <c r="NDL53" i="7" s="1"/>
  <c r="NDM53" i="7" s="1"/>
  <c r="NDN53" i="7" s="1"/>
  <c r="NDO53" i="7" s="1"/>
  <c r="NDP53" i="7" s="1"/>
  <c r="NDQ53" i="7" s="1"/>
  <c r="NDR53" i="7" s="1"/>
  <c r="NDS53" i="7" s="1"/>
  <c r="NDT53" i="7" s="1"/>
  <c r="NDU53" i="7" s="1"/>
  <c r="NDV53" i="7" s="1"/>
  <c r="NDW53" i="7" s="1"/>
  <c r="NDX53" i="7" s="1"/>
  <c r="NDY53" i="7" s="1"/>
  <c r="NDZ53" i="7" s="1"/>
  <c r="NEA53" i="7" s="1"/>
  <c r="NEB53" i="7" s="1"/>
  <c r="NEC53" i="7" s="1"/>
  <c r="NED53" i="7" s="1"/>
  <c r="NEE53" i="7" s="1"/>
  <c r="NEF53" i="7" s="1"/>
  <c r="NEG53" i="7" s="1"/>
  <c r="NEH53" i="7" s="1"/>
  <c r="NEI53" i="7" s="1"/>
  <c r="NEJ53" i="7" s="1"/>
  <c r="NEK53" i="7" s="1"/>
  <c r="NEL53" i="7" s="1"/>
  <c r="NEM53" i="7" s="1"/>
  <c r="NEN53" i="7" s="1"/>
  <c r="NEO53" i="7" s="1"/>
  <c r="NEP53" i="7" s="1"/>
  <c r="NEQ53" i="7" s="1"/>
  <c r="NER53" i="7" s="1"/>
  <c r="NES53" i="7" s="1"/>
  <c r="NET53" i="7" s="1"/>
  <c r="NEU53" i="7" s="1"/>
  <c r="NEV53" i="7" s="1"/>
  <c r="NEW53" i="7" s="1"/>
  <c r="NEX53" i="7" s="1"/>
  <c r="NEY53" i="7" s="1"/>
  <c r="NEZ53" i="7" s="1"/>
  <c r="NFA53" i="7" s="1"/>
  <c r="NFB53" i="7" s="1"/>
  <c r="NFC53" i="7" s="1"/>
  <c r="NFD53" i="7" s="1"/>
  <c r="NFE53" i="7" s="1"/>
  <c r="NFF53" i="7" s="1"/>
  <c r="NFG53" i="7" s="1"/>
  <c r="NFH53" i="7" s="1"/>
  <c r="NFI53" i="7" s="1"/>
  <c r="NFJ53" i="7" s="1"/>
  <c r="NFK53" i="7" s="1"/>
  <c r="NFL53" i="7" s="1"/>
  <c r="NFM53" i="7" s="1"/>
  <c r="NFN53" i="7" s="1"/>
  <c r="NFO53" i="7" s="1"/>
  <c r="NFP53" i="7" s="1"/>
  <c r="NFQ53" i="7" s="1"/>
  <c r="NFR53" i="7" s="1"/>
  <c r="NFS53" i="7" s="1"/>
  <c r="NFT53" i="7" s="1"/>
  <c r="NFU53" i="7" s="1"/>
  <c r="NFV53" i="7" s="1"/>
  <c r="NFW53" i="7" s="1"/>
  <c r="NFX53" i="7" s="1"/>
  <c r="NFY53" i="7" s="1"/>
  <c r="NFZ53" i="7" s="1"/>
  <c r="NGA53" i="7" s="1"/>
  <c r="NGB53" i="7" s="1"/>
  <c r="NGC53" i="7" s="1"/>
  <c r="NGD53" i="7" s="1"/>
  <c r="NGE53" i="7" s="1"/>
  <c r="NGF53" i="7" s="1"/>
  <c r="NGG53" i="7" s="1"/>
  <c r="NGH53" i="7" s="1"/>
  <c r="NGI53" i="7" s="1"/>
  <c r="NGJ53" i="7" s="1"/>
  <c r="NGK53" i="7" s="1"/>
  <c r="NGL53" i="7" s="1"/>
  <c r="NGM53" i="7" s="1"/>
  <c r="NGN53" i="7" s="1"/>
  <c r="NGO53" i="7" s="1"/>
  <c r="NGP53" i="7" s="1"/>
  <c r="NGQ53" i="7" s="1"/>
  <c r="NGR53" i="7" s="1"/>
  <c r="NGS53" i="7" s="1"/>
  <c r="NGT53" i="7" s="1"/>
  <c r="NGU53" i="7" s="1"/>
  <c r="NGV53" i="7" s="1"/>
  <c r="NGW53" i="7" s="1"/>
  <c r="NGX53" i="7" s="1"/>
  <c r="NGY53" i="7" s="1"/>
  <c r="NGZ53" i="7" s="1"/>
  <c r="NHA53" i="7" s="1"/>
  <c r="NHB53" i="7" s="1"/>
  <c r="NHC53" i="7" s="1"/>
  <c r="NHD53" i="7" s="1"/>
  <c r="NHE53" i="7" s="1"/>
  <c r="NHF53" i="7" s="1"/>
  <c r="NHG53" i="7" s="1"/>
  <c r="NHH53" i="7" s="1"/>
  <c r="NHI53" i="7" s="1"/>
  <c r="NHJ53" i="7" s="1"/>
  <c r="NHK53" i="7" s="1"/>
  <c r="NHL53" i="7" s="1"/>
  <c r="NHM53" i="7" s="1"/>
  <c r="NHN53" i="7" s="1"/>
  <c r="NHO53" i="7" s="1"/>
  <c r="NHP53" i="7" s="1"/>
  <c r="NHQ53" i="7" s="1"/>
  <c r="NHR53" i="7" s="1"/>
  <c r="NHS53" i="7" s="1"/>
  <c r="NHT53" i="7" s="1"/>
  <c r="NHU53" i="7" s="1"/>
  <c r="NHV53" i="7" s="1"/>
  <c r="NHW53" i="7" s="1"/>
  <c r="NHX53" i="7" s="1"/>
  <c r="NHY53" i="7" s="1"/>
  <c r="NHZ53" i="7" s="1"/>
  <c r="NIA53" i="7" s="1"/>
  <c r="NIB53" i="7" s="1"/>
  <c r="NIC53" i="7" s="1"/>
  <c r="NID53" i="7" s="1"/>
  <c r="NIE53" i="7" s="1"/>
  <c r="NIF53" i="7" s="1"/>
  <c r="NIG53" i="7" s="1"/>
  <c r="NIH53" i="7" s="1"/>
  <c r="NII53" i="7" s="1"/>
  <c r="NIJ53" i="7" s="1"/>
  <c r="NIK53" i="7" s="1"/>
  <c r="NIL53" i="7" s="1"/>
  <c r="NIM53" i="7" s="1"/>
  <c r="NIN53" i="7" s="1"/>
  <c r="NIO53" i="7" s="1"/>
  <c r="NIP53" i="7" s="1"/>
  <c r="NIQ53" i="7" s="1"/>
  <c r="NIR53" i="7" s="1"/>
  <c r="NIS53" i="7" s="1"/>
  <c r="NIT53" i="7" s="1"/>
  <c r="NIU53" i="7" s="1"/>
  <c r="NIV53" i="7" s="1"/>
  <c r="NIW53" i="7" s="1"/>
  <c r="NIX53" i="7" s="1"/>
  <c r="NIY53" i="7" s="1"/>
  <c r="NIZ53" i="7" s="1"/>
  <c r="NJA53" i="7" s="1"/>
  <c r="NJB53" i="7" s="1"/>
  <c r="NJC53" i="7" s="1"/>
  <c r="NJD53" i="7" s="1"/>
  <c r="NJE53" i="7" s="1"/>
  <c r="NJF53" i="7" s="1"/>
  <c r="NJG53" i="7" s="1"/>
  <c r="NJH53" i="7" s="1"/>
  <c r="NJI53" i="7" s="1"/>
  <c r="NJJ53" i="7" s="1"/>
  <c r="NJK53" i="7" s="1"/>
  <c r="NJL53" i="7" s="1"/>
  <c r="NJM53" i="7" s="1"/>
  <c r="NJN53" i="7" s="1"/>
  <c r="NJO53" i="7" s="1"/>
  <c r="NJP53" i="7" s="1"/>
  <c r="NJQ53" i="7" s="1"/>
  <c r="NJR53" i="7" s="1"/>
  <c r="NJS53" i="7" s="1"/>
  <c r="NJT53" i="7" s="1"/>
  <c r="NJU53" i="7" s="1"/>
  <c r="NJV53" i="7" s="1"/>
  <c r="NJW53" i="7" s="1"/>
  <c r="NJX53" i="7" s="1"/>
  <c r="NJY53" i="7" s="1"/>
  <c r="NJZ53" i="7" s="1"/>
  <c r="NKA53" i="7" s="1"/>
  <c r="NKB53" i="7" s="1"/>
  <c r="NKC53" i="7" s="1"/>
  <c r="NKD53" i="7" s="1"/>
  <c r="NKE53" i="7" s="1"/>
  <c r="NKF53" i="7" s="1"/>
  <c r="NKG53" i="7" s="1"/>
  <c r="NKH53" i="7" s="1"/>
  <c r="NKI53" i="7" s="1"/>
  <c r="NKJ53" i="7" s="1"/>
  <c r="NKK53" i="7" s="1"/>
  <c r="NKL53" i="7" s="1"/>
  <c r="NKM53" i="7" s="1"/>
  <c r="NKN53" i="7" s="1"/>
  <c r="NKO53" i="7" s="1"/>
  <c r="NKP53" i="7" s="1"/>
  <c r="NKQ53" i="7" s="1"/>
  <c r="NKR53" i="7" s="1"/>
  <c r="NKS53" i="7" s="1"/>
  <c r="NKT53" i="7" s="1"/>
  <c r="NKU53" i="7" s="1"/>
  <c r="NKV53" i="7" s="1"/>
  <c r="NKW53" i="7" s="1"/>
  <c r="NKX53" i="7" s="1"/>
  <c r="NKY53" i="7" s="1"/>
  <c r="NKZ53" i="7" s="1"/>
  <c r="NLA53" i="7" s="1"/>
  <c r="NLB53" i="7" s="1"/>
  <c r="NLC53" i="7" s="1"/>
  <c r="NLD53" i="7" s="1"/>
  <c r="NLE53" i="7" s="1"/>
  <c r="NLF53" i="7" s="1"/>
  <c r="NLG53" i="7" s="1"/>
  <c r="NLH53" i="7" s="1"/>
  <c r="NLI53" i="7" s="1"/>
  <c r="NLJ53" i="7" s="1"/>
  <c r="NLK53" i="7" s="1"/>
  <c r="NLL53" i="7" s="1"/>
  <c r="NLM53" i="7" s="1"/>
  <c r="NLN53" i="7" s="1"/>
  <c r="NLO53" i="7" s="1"/>
  <c r="NLP53" i="7" s="1"/>
  <c r="NLQ53" i="7" s="1"/>
  <c r="NLR53" i="7" s="1"/>
  <c r="NLS53" i="7" s="1"/>
  <c r="NLT53" i="7" s="1"/>
  <c r="NLU53" i="7" s="1"/>
  <c r="NLV53" i="7" s="1"/>
  <c r="NLW53" i="7" s="1"/>
  <c r="NLX53" i="7" s="1"/>
  <c r="NLY53" i="7" s="1"/>
  <c r="NLZ53" i="7" s="1"/>
  <c r="NMA53" i="7" s="1"/>
  <c r="NMB53" i="7" s="1"/>
  <c r="NMC53" i="7" s="1"/>
  <c r="NMD53" i="7" s="1"/>
  <c r="NME53" i="7" s="1"/>
  <c r="NMF53" i="7" s="1"/>
  <c r="NMG53" i="7" s="1"/>
  <c r="NMH53" i="7" s="1"/>
  <c r="NMI53" i="7" s="1"/>
  <c r="NMJ53" i="7" s="1"/>
  <c r="NMK53" i="7" s="1"/>
  <c r="NML53" i="7" s="1"/>
  <c r="NMM53" i="7" s="1"/>
  <c r="NMN53" i="7" s="1"/>
  <c r="NMO53" i="7" s="1"/>
  <c r="NMP53" i="7" s="1"/>
  <c r="NMQ53" i="7" s="1"/>
  <c r="NMR53" i="7" s="1"/>
  <c r="NMS53" i="7" s="1"/>
  <c r="NMT53" i="7" s="1"/>
  <c r="NMU53" i="7" s="1"/>
  <c r="NMV53" i="7" s="1"/>
  <c r="NMW53" i="7" s="1"/>
  <c r="NMX53" i="7" s="1"/>
  <c r="NMY53" i="7" s="1"/>
  <c r="NMZ53" i="7" s="1"/>
  <c r="NNA53" i="7" s="1"/>
  <c r="NNB53" i="7" s="1"/>
  <c r="NNC53" i="7" s="1"/>
  <c r="NND53" i="7" s="1"/>
  <c r="NNE53" i="7" s="1"/>
  <c r="NNF53" i="7" s="1"/>
  <c r="NNG53" i="7" s="1"/>
  <c r="NNH53" i="7" s="1"/>
  <c r="NNI53" i="7" s="1"/>
  <c r="NNJ53" i="7" s="1"/>
  <c r="NNK53" i="7" s="1"/>
  <c r="NNL53" i="7" s="1"/>
  <c r="NNM53" i="7" s="1"/>
  <c r="NNN53" i="7" s="1"/>
  <c r="NNO53" i="7" s="1"/>
  <c r="NNP53" i="7" s="1"/>
  <c r="NNQ53" i="7" s="1"/>
  <c r="NNR53" i="7" s="1"/>
  <c r="NNS53" i="7" s="1"/>
  <c r="NNT53" i="7" s="1"/>
  <c r="NNU53" i="7" s="1"/>
  <c r="NNV53" i="7" s="1"/>
  <c r="NNW53" i="7" s="1"/>
  <c r="NNX53" i="7" s="1"/>
  <c r="NNY53" i="7" s="1"/>
  <c r="NNZ53" i="7" s="1"/>
  <c r="NOA53" i="7" s="1"/>
  <c r="NOB53" i="7" s="1"/>
  <c r="NOC53" i="7" s="1"/>
  <c r="NOD53" i="7" s="1"/>
  <c r="NOE53" i="7" s="1"/>
  <c r="NOF53" i="7" s="1"/>
  <c r="NOG53" i="7" s="1"/>
  <c r="NOH53" i="7" s="1"/>
  <c r="NOI53" i="7" s="1"/>
  <c r="NOJ53" i="7" s="1"/>
  <c r="NOK53" i="7" s="1"/>
  <c r="NOL53" i="7" s="1"/>
  <c r="NOM53" i="7" s="1"/>
  <c r="NON53" i="7" s="1"/>
  <c r="NOO53" i="7" s="1"/>
  <c r="NOP53" i="7" s="1"/>
  <c r="NOQ53" i="7" s="1"/>
  <c r="NOR53" i="7" s="1"/>
  <c r="NOS53" i="7" s="1"/>
  <c r="NOT53" i="7" s="1"/>
  <c r="NOU53" i="7" s="1"/>
  <c r="NOV53" i="7" s="1"/>
  <c r="NOW53" i="7" s="1"/>
  <c r="NOX53" i="7" s="1"/>
  <c r="NOY53" i="7" s="1"/>
  <c r="NOZ53" i="7" s="1"/>
  <c r="NPA53" i="7" s="1"/>
  <c r="NPB53" i="7" s="1"/>
  <c r="NPC53" i="7" s="1"/>
  <c r="NPD53" i="7" s="1"/>
  <c r="NPE53" i="7" s="1"/>
  <c r="NPF53" i="7" s="1"/>
  <c r="NPG53" i="7" s="1"/>
  <c r="NPH53" i="7" s="1"/>
  <c r="NPI53" i="7" s="1"/>
  <c r="NPJ53" i="7" s="1"/>
  <c r="NPK53" i="7" s="1"/>
  <c r="NPL53" i="7" s="1"/>
  <c r="NPM53" i="7" s="1"/>
  <c r="NPN53" i="7" s="1"/>
  <c r="NPO53" i="7" s="1"/>
  <c r="NPP53" i="7" s="1"/>
  <c r="NPQ53" i="7" s="1"/>
  <c r="NPR53" i="7" s="1"/>
  <c r="NPS53" i="7" s="1"/>
  <c r="NPT53" i="7" s="1"/>
  <c r="NPU53" i="7" s="1"/>
  <c r="NPV53" i="7" s="1"/>
  <c r="NPW53" i="7" s="1"/>
  <c r="NPX53" i="7" s="1"/>
  <c r="NPY53" i="7" s="1"/>
  <c r="NPZ53" i="7" s="1"/>
  <c r="NQA53" i="7" s="1"/>
  <c r="NQB53" i="7" s="1"/>
  <c r="NQC53" i="7" s="1"/>
  <c r="NQD53" i="7" s="1"/>
  <c r="NQE53" i="7" s="1"/>
  <c r="NQF53" i="7" s="1"/>
  <c r="NQG53" i="7" s="1"/>
  <c r="NQH53" i="7" s="1"/>
  <c r="NQI53" i="7" s="1"/>
  <c r="NQJ53" i="7" s="1"/>
  <c r="NQK53" i="7" s="1"/>
  <c r="NQL53" i="7" s="1"/>
  <c r="NQM53" i="7" s="1"/>
  <c r="NQN53" i="7" s="1"/>
  <c r="NQO53" i="7" s="1"/>
  <c r="NQP53" i="7" s="1"/>
  <c r="NQQ53" i="7" s="1"/>
  <c r="NQR53" i="7" s="1"/>
  <c r="NQS53" i="7" s="1"/>
  <c r="NQT53" i="7" s="1"/>
  <c r="NQU53" i="7" s="1"/>
  <c r="NQV53" i="7" s="1"/>
  <c r="NQW53" i="7" s="1"/>
  <c r="NQX53" i="7" s="1"/>
  <c r="NQY53" i="7" s="1"/>
  <c r="NQZ53" i="7" s="1"/>
  <c r="NRA53" i="7" s="1"/>
  <c r="NRB53" i="7" s="1"/>
  <c r="NRC53" i="7" s="1"/>
  <c r="NRD53" i="7" s="1"/>
  <c r="NRE53" i="7" s="1"/>
  <c r="NRF53" i="7" s="1"/>
  <c r="NRG53" i="7" s="1"/>
  <c r="NRH53" i="7" s="1"/>
  <c r="NRI53" i="7" s="1"/>
  <c r="NRJ53" i="7" s="1"/>
  <c r="NRK53" i="7" s="1"/>
  <c r="NRL53" i="7" s="1"/>
  <c r="NRM53" i="7" s="1"/>
  <c r="NRN53" i="7" s="1"/>
  <c r="NRO53" i="7" s="1"/>
  <c r="NRP53" i="7" s="1"/>
  <c r="NRQ53" i="7" s="1"/>
  <c r="NRR53" i="7" s="1"/>
  <c r="NRS53" i="7" s="1"/>
  <c r="NRT53" i="7" s="1"/>
  <c r="NRU53" i="7" s="1"/>
  <c r="NRV53" i="7" s="1"/>
  <c r="NRW53" i="7" s="1"/>
  <c r="NRX53" i="7" s="1"/>
  <c r="NRY53" i="7" s="1"/>
  <c r="NRZ53" i="7" s="1"/>
  <c r="NSA53" i="7" s="1"/>
  <c r="NSB53" i="7" s="1"/>
  <c r="NSC53" i="7" s="1"/>
  <c r="NSD53" i="7" s="1"/>
  <c r="NSE53" i="7" s="1"/>
  <c r="NSF53" i="7" s="1"/>
  <c r="NSG53" i="7" s="1"/>
  <c r="NSH53" i="7" s="1"/>
  <c r="NSI53" i="7" s="1"/>
  <c r="NSJ53" i="7" s="1"/>
  <c r="NSK53" i="7" s="1"/>
  <c r="NSL53" i="7" s="1"/>
  <c r="NSM53" i="7" s="1"/>
  <c r="NSN53" i="7" s="1"/>
  <c r="NSO53" i="7" s="1"/>
  <c r="NSP53" i="7" s="1"/>
  <c r="NSQ53" i="7" s="1"/>
  <c r="NSR53" i="7" s="1"/>
  <c r="NSS53" i="7" s="1"/>
  <c r="NST53" i="7" s="1"/>
  <c r="NSU53" i="7" s="1"/>
  <c r="NSV53" i="7" s="1"/>
  <c r="NSW53" i="7" s="1"/>
  <c r="NSX53" i="7" s="1"/>
  <c r="NSY53" i="7" s="1"/>
  <c r="NSZ53" i="7" s="1"/>
  <c r="NTA53" i="7" s="1"/>
  <c r="NTB53" i="7" s="1"/>
  <c r="NTC53" i="7" s="1"/>
  <c r="NTD53" i="7" s="1"/>
  <c r="NTE53" i="7" s="1"/>
  <c r="NTF53" i="7" s="1"/>
  <c r="NTG53" i="7" s="1"/>
  <c r="NTH53" i="7" s="1"/>
  <c r="NTI53" i="7" s="1"/>
  <c r="NTJ53" i="7" s="1"/>
  <c r="NTK53" i="7" s="1"/>
  <c r="NTL53" i="7" s="1"/>
  <c r="NTM53" i="7" s="1"/>
  <c r="NTN53" i="7" s="1"/>
  <c r="NTO53" i="7" s="1"/>
  <c r="NTP53" i="7" s="1"/>
  <c r="NTQ53" i="7" s="1"/>
  <c r="NTR53" i="7" s="1"/>
  <c r="NTS53" i="7" s="1"/>
  <c r="NTT53" i="7" s="1"/>
  <c r="NTU53" i="7" s="1"/>
  <c r="NTV53" i="7" s="1"/>
  <c r="NTW53" i="7" s="1"/>
  <c r="NTX53" i="7" s="1"/>
  <c r="NTY53" i="7" s="1"/>
  <c r="NTZ53" i="7" s="1"/>
  <c r="NUA53" i="7" s="1"/>
  <c r="NUB53" i="7" s="1"/>
  <c r="NUC53" i="7" s="1"/>
  <c r="NUD53" i="7" s="1"/>
  <c r="NUE53" i="7" s="1"/>
  <c r="NUF53" i="7" s="1"/>
  <c r="NUG53" i="7" s="1"/>
  <c r="NUH53" i="7" s="1"/>
  <c r="NUI53" i="7" s="1"/>
  <c r="NUJ53" i="7" s="1"/>
  <c r="NUK53" i="7" s="1"/>
  <c r="NUL53" i="7" s="1"/>
  <c r="NUM53" i="7" s="1"/>
  <c r="NUN53" i="7" s="1"/>
  <c r="NUO53" i="7" s="1"/>
  <c r="NUP53" i="7" s="1"/>
  <c r="NUQ53" i="7" s="1"/>
  <c r="NUR53" i="7" s="1"/>
  <c r="NUS53" i="7" s="1"/>
  <c r="NUT53" i="7" s="1"/>
  <c r="NUU53" i="7" s="1"/>
  <c r="NUV53" i="7" s="1"/>
  <c r="NUW53" i="7" s="1"/>
  <c r="NUX53" i="7" s="1"/>
  <c r="NUY53" i="7" s="1"/>
  <c r="NUZ53" i="7" s="1"/>
  <c r="NVA53" i="7" s="1"/>
  <c r="NVB53" i="7" s="1"/>
  <c r="NVC53" i="7" s="1"/>
  <c r="NVD53" i="7" s="1"/>
  <c r="NVE53" i="7" s="1"/>
  <c r="NVF53" i="7" s="1"/>
  <c r="NVG53" i="7" s="1"/>
  <c r="NVH53" i="7" s="1"/>
  <c r="NVI53" i="7" s="1"/>
  <c r="NVJ53" i="7" s="1"/>
  <c r="NVK53" i="7" s="1"/>
  <c r="NVL53" i="7" s="1"/>
  <c r="NVM53" i="7" s="1"/>
  <c r="NVN53" i="7" s="1"/>
  <c r="NVO53" i="7" s="1"/>
  <c r="NVP53" i="7" s="1"/>
  <c r="NVQ53" i="7" s="1"/>
  <c r="NVR53" i="7" s="1"/>
  <c r="NVS53" i="7" s="1"/>
  <c r="NVT53" i="7" s="1"/>
  <c r="NVU53" i="7" s="1"/>
  <c r="NVV53" i="7" s="1"/>
  <c r="NVW53" i="7" s="1"/>
  <c r="NVX53" i="7" s="1"/>
  <c r="NVY53" i="7" s="1"/>
  <c r="NVZ53" i="7" s="1"/>
  <c r="NWA53" i="7" s="1"/>
  <c r="NWB53" i="7" s="1"/>
  <c r="NWC53" i="7" s="1"/>
  <c r="NWD53" i="7" s="1"/>
  <c r="NWE53" i="7" s="1"/>
  <c r="NWF53" i="7" s="1"/>
  <c r="NWG53" i="7" s="1"/>
  <c r="NWH53" i="7" s="1"/>
  <c r="NWI53" i="7" s="1"/>
  <c r="NWJ53" i="7" s="1"/>
  <c r="NWK53" i="7" s="1"/>
  <c r="NWL53" i="7" s="1"/>
  <c r="NWM53" i="7" s="1"/>
  <c r="NWN53" i="7" s="1"/>
  <c r="NWO53" i="7" s="1"/>
  <c r="NWP53" i="7" s="1"/>
  <c r="NWQ53" i="7" s="1"/>
  <c r="NWR53" i="7" s="1"/>
  <c r="NWS53" i="7" s="1"/>
  <c r="NWT53" i="7" s="1"/>
  <c r="NWU53" i="7" s="1"/>
  <c r="NWV53" i="7" s="1"/>
  <c r="NWW53" i="7" s="1"/>
  <c r="NWX53" i="7" s="1"/>
  <c r="NWY53" i="7" s="1"/>
  <c r="NWZ53" i="7" s="1"/>
  <c r="NXA53" i="7" s="1"/>
  <c r="NXB53" i="7" s="1"/>
  <c r="NXC53" i="7" s="1"/>
  <c r="NXD53" i="7" s="1"/>
  <c r="NXE53" i="7" s="1"/>
  <c r="NXF53" i="7" s="1"/>
  <c r="NXG53" i="7" s="1"/>
  <c r="NXH53" i="7" s="1"/>
  <c r="NXI53" i="7" s="1"/>
  <c r="NXJ53" i="7" s="1"/>
  <c r="NXK53" i="7" s="1"/>
  <c r="NXL53" i="7" s="1"/>
  <c r="NXM53" i="7" s="1"/>
  <c r="NXN53" i="7" s="1"/>
  <c r="NXO53" i="7" s="1"/>
  <c r="NXP53" i="7" s="1"/>
  <c r="NXQ53" i="7" s="1"/>
  <c r="NXR53" i="7" s="1"/>
  <c r="NXS53" i="7" s="1"/>
  <c r="NXT53" i="7" s="1"/>
  <c r="NXU53" i="7" s="1"/>
  <c r="NXV53" i="7" s="1"/>
  <c r="NXW53" i="7" s="1"/>
  <c r="NXX53" i="7" s="1"/>
  <c r="NXY53" i="7" s="1"/>
  <c r="NXZ53" i="7" s="1"/>
  <c r="NYA53" i="7" s="1"/>
  <c r="NYB53" i="7" s="1"/>
  <c r="NYC53" i="7" s="1"/>
  <c r="NYD53" i="7" s="1"/>
  <c r="NYE53" i="7" s="1"/>
  <c r="NYF53" i="7" s="1"/>
  <c r="NYG53" i="7" s="1"/>
  <c r="NYH53" i="7" s="1"/>
  <c r="NYI53" i="7" s="1"/>
  <c r="NYJ53" i="7" s="1"/>
  <c r="NYK53" i="7" s="1"/>
  <c r="NYL53" i="7" s="1"/>
  <c r="NYM53" i="7" s="1"/>
  <c r="NYN53" i="7" s="1"/>
  <c r="NYO53" i="7" s="1"/>
  <c r="NYP53" i="7" s="1"/>
  <c r="NYQ53" i="7" s="1"/>
  <c r="NYR53" i="7" s="1"/>
  <c r="NYS53" i="7" s="1"/>
  <c r="NYT53" i="7" s="1"/>
  <c r="NYU53" i="7" s="1"/>
  <c r="NYV53" i="7" s="1"/>
  <c r="NYW53" i="7" s="1"/>
  <c r="NYX53" i="7" s="1"/>
  <c r="NYY53" i="7" s="1"/>
  <c r="NYZ53" i="7" s="1"/>
  <c r="NZA53" i="7" s="1"/>
  <c r="NZB53" i="7" s="1"/>
  <c r="NZC53" i="7" s="1"/>
  <c r="NZD53" i="7" s="1"/>
  <c r="NZE53" i="7" s="1"/>
  <c r="NZF53" i="7" s="1"/>
  <c r="NZG53" i="7" s="1"/>
  <c r="NZH53" i="7" s="1"/>
  <c r="NZI53" i="7" s="1"/>
  <c r="NZJ53" i="7" s="1"/>
  <c r="NZK53" i="7" s="1"/>
  <c r="NZL53" i="7" s="1"/>
  <c r="NZM53" i="7" s="1"/>
  <c r="NZN53" i="7" s="1"/>
  <c r="NZO53" i="7" s="1"/>
  <c r="NZP53" i="7" s="1"/>
  <c r="NZQ53" i="7" s="1"/>
  <c r="NZR53" i="7" s="1"/>
  <c r="NZS53" i="7" s="1"/>
  <c r="NZT53" i="7" s="1"/>
  <c r="NZU53" i="7" s="1"/>
  <c r="NZV53" i="7" s="1"/>
  <c r="NZW53" i="7" s="1"/>
  <c r="NZX53" i="7" s="1"/>
  <c r="NZY53" i="7" s="1"/>
  <c r="NZZ53" i="7" s="1"/>
  <c r="OAA53" i="7" s="1"/>
  <c r="OAB53" i="7" s="1"/>
  <c r="OAC53" i="7" s="1"/>
  <c r="OAD53" i="7" s="1"/>
  <c r="OAE53" i="7" s="1"/>
  <c r="OAF53" i="7" s="1"/>
  <c r="OAG53" i="7" s="1"/>
  <c r="OAH53" i="7" s="1"/>
  <c r="OAI53" i="7" s="1"/>
  <c r="OAJ53" i="7" s="1"/>
  <c r="OAK53" i="7" s="1"/>
  <c r="OAL53" i="7" s="1"/>
  <c r="OAM53" i="7" s="1"/>
  <c r="OAN53" i="7" s="1"/>
  <c r="OAO53" i="7" s="1"/>
  <c r="OAP53" i="7" s="1"/>
  <c r="OAQ53" i="7" s="1"/>
  <c r="OAR53" i="7" s="1"/>
  <c r="OAS53" i="7" s="1"/>
  <c r="OAT53" i="7" s="1"/>
  <c r="OAU53" i="7" s="1"/>
  <c r="OAV53" i="7" s="1"/>
  <c r="OAW53" i="7" s="1"/>
  <c r="OAX53" i="7" s="1"/>
  <c r="OAY53" i="7" s="1"/>
  <c r="OAZ53" i="7" s="1"/>
  <c r="OBA53" i="7" s="1"/>
  <c r="OBB53" i="7" s="1"/>
  <c r="OBC53" i="7" s="1"/>
  <c r="OBD53" i="7" s="1"/>
  <c r="OBE53" i="7" s="1"/>
  <c r="OBF53" i="7" s="1"/>
  <c r="OBG53" i="7" s="1"/>
  <c r="OBH53" i="7" s="1"/>
  <c r="OBI53" i="7" s="1"/>
  <c r="OBJ53" i="7" s="1"/>
  <c r="OBK53" i="7" s="1"/>
  <c r="OBL53" i="7" s="1"/>
  <c r="OBM53" i="7" s="1"/>
  <c r="OBN53" i="7" s="1"/>
  <c r="OBO53" i="7" s="1"/>
  <c r="OBP53" i="7" s="1"/>
  <c r="OBQ53" i="7" s="1"/>
  <c r="OBR53" i="7" s="1"/>
  <c r="OBS53" i="7" s="1"/>
  <c r="OBT53" i="7" s="1"/>
  <c r="OBU53" i="7" s="1"/>
  <c r="OBV53" i="7" s="1"/>
  <c r="OBW53" i="7" s="1"/>
  <c r="OBX53" i="7" s="1"/>
  <c r="OBY53" i="7" s="1"/>
  <c r="OBZ53" i="7" s="1"/>
  <c r="OCA53" i="7" s="1"/>
  <c r="OCB53" i="7" s="1"/>
  <c r="OCC53" i="7" s="1"/>
  <c r="OCD53" i="7" s="1"/>
  <c r="OCE53" i="7" s="1"/>
  <c r="OCF53" i="7" s="1"/>
  <c r="OCG53" i="7" s="1"/>
  <c r="OCH53" i="7" s="1"/>
  <c r="OCI53" i="7" s="1"/>
  <c r="OCJ53" i="7" s="1"/>
  <c r="OCK53" i="7" s="1"/>
  <c r="OCL53" i="7" s="1"/>
  <c r="OCM53" i="7" s="1"/>
  <c r="OCN53" i="7" s="1"/>
  <c r="OCO53" i="7" s="1"/>
  <c r="OCP53" i="7" s="1"/>
  <c r="OCQ53" i="7" s="1"/>
  <c r="OCR53" i="7" s="1"/>
  <c r="OCS53" i="7" s="1"/>
  <c r="OCT53" i="7" s="1"/>
  <c r="OCU53" i="7" s="1"/>
  <c r="OCV53" i="7" s="1"/>
  <c r="OCW53" i="7" s="1"/>
  <c r="OCX53" i="7" s="1"/>
  <c r="OCY53" i="7" s="1"/>
  <c r="OCZ53" i="7" s="1"/>
  <c r="ODA53" i="7" s="1"/>
  <c r="ODB53" i="7" s="1"/>
  <c r="ODC53" i="7" s="1"/>
  <c r="ODD53" i="7" s="1"/>
  <c r="ODE53" i="7" s="1"/>
  <c r="ODF53" i="7" s="1"/>
  <c r="ODG53" i="7" s="1"/>
  <c r="ODH53" i="7" s="1"/>
  <c r="ODI53" i="7" s="1"/>
  <c r="ODJ53" i="7" s="1"/>
  <c r="ODK53" i="7" s="1"/>
  <c r="ODL53" i="7" s="1"/>
  <c r="ODM53" i="7" s="1"/>
  <c r="ODN53" i="7" s="1"/>
  <c r="ODO53" i="7" s="1"/>
  <c r="ODP53" i="7" s="1"/>
  <c r="ODQ53" i="7" s="1"/>
  <c r="ODR53" i="7" s="1"/>
  <c r="ODS53" i="7" s="1"/>
  <c r="ODT53" i="7" s="1"/>
  <c r="ODU53" i="7" s="1"/>
  <c r="ODV53" i="7" s="1"/>
  <c r="ODW53" i="7" s="1"/>
  <c r="ODX53" i="7" s="1"/>
  <c r="ODY53" i="7" s="1"/>
  <c r="ODZ53" i="7" s="1"/>
  <c r="OEA53" i="7" s="1"/>
  <c r="OEB53" i="7" s="1"/>
  <c r="OEC53" i="7" s="1"/>
  <c r="OED53" i="7" s="1"/>
  <c r="OEE53" i="7" s="1"/>
  <c r="OEF53" i="7" s="1"/>
  <c r="OEG53" i="7" s="1"/>
  <c r="OEH53" i="7" s="1"/>
  <c r="OEI53" i="7" s="1"/>
  <c r="OEJ53" i="7" s="1"/>
  <c r="OEK53" i="7" s="1"/>
  <c r="OEL53" i="7" s="1"/>
  <c r="OEM53" i="7" s="1"/>
  <c r="OEN53" i="7" s="1"/>
  <c r="OEO53" i="7" s="1"/>
  <c r="OEP53" i="7" s="1"/>
  <c r="OEQ53" i="7" s="1"/>
  <c r="OER53" i="7" s="1"/>
  <c r="OES53" i="7" s="1"/>
  <c r="OET53" i="7" s="1"/>
  <c r="OEU53" i="7" s="1"/>
  <c r="OEV53" i="7" s="1"/>
  <c r="OEW53" i="7" s="1"/>
  <c r="OEX53" i="7" s="1"/>
  <c r="OEY53" i="7" s="1"/>
  <c r="OEZ53" i="7" s="1"/>
  <c r="OFA53" i="7" s="1"/>
  <c r="OFB53" i="7" s="1"/>
  <c r="OFC53" i="7" s="1"/>
  <c r="OFD53" i="7" s="1"/>
  <c r="OFE53" i="7" s="1"/>
  <c r="OFF53" i="7" s="1"/>
  <c r="OFG53" i="7" s="1"/>
  <c r="OFH53" i="7" s="1"/>
  <c r="OFI53" i="7" s="1"/>
  <c r="OFJ53" i="7" s="1"/>
  <c r="OFK53" i="7" s="1"/>
  <c r="OFL53" i="7" s="1"/>
  <c r="OFM53" i="7" s="1"/>
  <c r="OFN53" i="7" s="1"/>
  <c r="OFO53" i="7" s="1"/>
  <c r="OFP53" i="7" s="1"/>
  <c r="OFQ53" i="7" s="1"/>
  <c r="OFR53" i="7" s="1"/>
  <c r="OFS53" i="7" s="1"/>
  <c r="OFT53" i="7" s="1"/>
  <c r="OFU53" i="7" s="1"/>
  <c r="OFV53" i="7" s="1"/>
  <c r="OFW53" i="7" s="1"/>
  <c r="OFX53" i="7" s="1"/>
  <c r="OFY53" i="7" s="1"/>
  <c r="OFZ53" i="7" s="1"/>
  <c r="OGA53" i="7" s="1"/>
  <c r="OGB53" i="7" s="1"/>
  <c r="OGC53" i="7" s="1"/>
  <c r="OGD53" i="7" s="1"/>
  <c r="OGE53" i="7" s="1"/>
  <c r="OGF53" i="7" s="1"/>
  <c r="OGG53" i="7" s="1"/>
  <c r="OGH53" i="7" s="1"/>
  <c r="OGI53" i="7" s="1"/>
  <c r="OGJ53" i="7" s="1"/>
  <c r="OGK53" i="7" s="1"/>
  <c r="OGL53" i="7" s="1"/>
  <c r="OGM53" i="7" s="1"/>
  <c r="OGN53" i="7" s="1"/>
  <c r="OGO53" i="7" s="1"/>
  <c r="OGP53" i="7" s="1"/>
  <c r="OGQ53" i="7" s="1"/>
  <c r="OGR53" i="7" s="1"/>
  <c r="OGS53" i="7" s="1"/>
  <c r="OGT53" i="7" s="1"/>
  <c r="OGU53" i="7" s="1"/>
  <c r="OGV53" i="7" s="1"/>
  <c r="OGW53" i="7" s="1"/>
  <c r="OGX53" i="7" s="1"/>
  <c r="OGY53" i="7" s="1"/>
  <c r="OGZ53" i="7" s="1"/>
  <c r="OHA53" i="7" s="1"/>
  <c r="OHB53" i="7" s="1"/>
  <c r="OHC53" i="7" s="1"/>
  <c r="OHD53" i="7" s="1"/>
  <c r="OHE53" i="7" s="1"/>
  <c r="OHF53" i="7" s="1"/>
  <c r="OHG53" i="7" s="1"/>
  <c r="OHH53" i="7" s="1"/>
  <c r="OHI53" i="7" s="1"/>
  <c r="OHJ53" i="7" s="1"/>
  <c r="OHK53" i="7" s="1"/>
  <c r="OHL53" i="7" s="1"/>
  <c r="OHM53" i="7" s="1"/>
  <c r="OHN53" i="7" s="1"/>
  <c r="OHO53" i="7" s="1"/>
  <c r="OHP53" i="7" s="1"/>
  <c r="OHQ53" i="7" s="1"/>
  <c r="OHR53" i="7" s="1"/>
  <c r="OHS53" i="7" s="1"/>
  <c r="OHT53" i="7" s="1"/>
  <c r="OHU53" i="7" s="1"/>
  <c r="OHV53" i="7" s="1"/>
  <c r="OHW53" i="7" s="1"/>
  <c r="OHX53" i="7" s="1"/>
  <c r="OHY53" i="7" s="1"/>
  <c r="OHZ53" i="7" s="1"/>
  <c r="OIA53" i="7" s="1"/>
  <c r="OIB53" i="7" s="1"/>
  <c r="OIC53" i="7" s="1"/>
  <c r="OID53" i="7" s="1"/>
  <c r="OIE53" i="7" s="1"/>
  <c r="OIF53" i="7" s="1"/>
  <c r="OIG53" i="7" s="1"/>
  <c r="OIH53" i="7" s="1"/>
  <c r="OII53" i="7" s="1"/>
  <c r="OIJ53" i="7" s="1"/>
  <c r="OIK53" i="7" s="1"/>
  <c r="OIL53" i="7" s="1"/>
  <c r="OIM53" i="7" s="1"/>
  <c r="OIN53" i="7" s="1"/>
  <c r="OIO53" i="7" s="1"/>
  <c r="OIP53" i="7" s="1"/>
  <c r="OIQ53" i="7" s="1"/>
  <c r="OIR53" i="7" s="1"/>
  <c r="OIS53" i="7" s="1"/>
  <c r="OIT53" i="7" s="1"/>
  <c r="OIU53" i="7" s="1"/>
  <c r="OIV53" i="7" s="1"/>
  <c r="OIW53" i="7" s="1"/>
  <c r="OIX53" i="7" s="1"/>
  <c r="OIY53" i="7" s="1"/>
  <c r="OIZ53" i="7" s="1"/>
  <c r="OJA53" i="7" s="1"/>
  <c r="OJB53" i="7" s="1"/>
  <c r="OJC53" i="7" s="1"/>
  <c r="OJD53" i="7" s="1"/>
  <c r="OJE53" i="7" s="1"/>
  <c r="OJF53" i="7" s="1"/>
  <c r="OJG53" i="7" s="1"/>
  <c r="OJH53" i="7" s="1"/>
  <c r="OJI53" i="7" s="1"/>
  <c r="OJJ53" i="7" s="1"/>
  <c r="OJK53" i="7" s="1"/>
  <c r="OJL53" i="7" s="1"/>
  <c r="OJM53" i="7" s="1"/>
  <c r="OJN53" i="7" s="1"/>
  <c r="OJO53" i="7" s="1"/>
  <c r="OJP53" i="7" s="1"/>
  <c r="OJQ53" i="7" s="1"/>
  <c r="OJR53" i="7" s="1"/>
  <c r="OJS53" i="7" s="1"/>
  <c r="OJT53" i="7" s="1"/>
  <c r="OJU53" i="7" s="1"/>
  <c r="OJV53" i="7" s="1"/>
  <c r="OJW53" i="7" s="1"/>
  <c r="OJX53" i="7" s="1"/>
  <c r="OJY53" i="7" s="1"/>
  <c r="OJZ53" i="7" s="1"/>
  <c r="OKA53" i="7" s="1"/>
  <c r="OKB53" i="7" s="1"/>
  <c r="OKC53" i="7" s="1"/>
  <c r="OKD53" i="7" s="1"/>
  <c r="OKE53" i="7" s="1"/>
  <c r="OKF53" i="7" s="1"/>
  <c r="OKG53" i="7" s="1"/>
  <c r="OKH53" i="7" s="1"/>
  <c r="OKI53" i="7" s="1"/>
  <c r="OKJ53" i="7" s="1"/>
  <c r="OKK53" i="7" s="1"/>
  <c r="OKL53" i="7" s="1"/>
  <c r="OKM53" i="7" s="1"/>
  <c r="OKN53" i="7" s="1"/>
  <c r="OKO53" i="7" s="1"/>
  <c r="OKP53" i="7" s="1"/>
  <c r="OKQ53" i="7" s="1"/>
  <c r="OKR53" i="7" s="1"/>
  <c r="OKS53" i="7" s="1"/>
  <c r="OKT53" i="7" s="1"/>
  <c r="OKU53" i="7" s="1"/>
  <c r="OKV53" i="7" s="1"/>
  <c r="OKW53" i="7" s="1"/>
  <c r="OKX53" i="7" s="1"/>
  <c r="OKY53" i="7" s="1"/>
  <c r="OKZ53" i="7" s="1"/>
  <c r="OLA53" i="7" s="1"/>
  <c r="OLB53" i="7" s="1"/>
  <c r="OLC53" i="7" s="1"/>
  <c r="OLD53" i="7" s="1"/>
  <c r="OLE53" i="7" s="1"/>
  <c r="OLF53" i="7" s="1"/>
  <c r="OLG53" i="7" s="1"/>
  <c r="OLH53" i="7" s="1"/>
  <c r="OLI53" i="7" s="1"/>
  <c r="OLJ53" i="7" s="1"/>
  <c r="OLK53" i="7" s="1"/>
  <c r="OLL53" i="7" s="1"/>
  <c r="OLM53" i="7" s="1"/>
  <c r="OLN53" i="7" s="1"/>
  <c r="OLO53" i="7" s="1"/>
  <c r="OLP53" i="7" s="1"/>
  <c r="OLQ53" i="7" s="1"/>
  <c r="OLR53" i="7" s="1"/>
  <c r="OLS53" i="7" s="1"/>
  <c r="OLT53" i="7" s="1"/>
  <c r="OLU53" i="7" s="1"/>
  <c r="OLV53" i="7" s="1"/>
  <c r="OLW53" i="7" s="1"/>
  <c r="OLX53" i="7" s="1"/>
  <c r="OLY53" i="7" s="1"/>
  <c r="OLZ53" i="7" s="1"/>
  <c r="OMA53" i="7" s="1"/>
  <c r="OMB53" i="7" s="1"/>
  <c r="OMC53" i="7" s="1"/>
  <c r="OMD53" i="7" s="1"/>
  <c r="OME53" i="7" s="1"/>
  <c r="OMF53" i="7" s="1"/>
  <c r="OMG53" i="7" s="1"/>
  <c r="OMH53" i="7" s="1"/>
  <c r="OMI53" i="7" s="1"/>
  <c r="OMJ53" i="7" s="1"/>
  <c r="OMK53" i="7" s="1"/>
  <c r="OML53" i="7" s="1"/>
  <c r="OMM53" i="7" s="1"/>
  <c r="OMN53" i="7" s="1"/>
  <c r="OMO53" i="7" s="1"/>
  <c r="OMP53" i="7" s="1"/>
  <c r="OMQ53" i="7" s="1"/>
  <c r="OMR53" i="7" s="1"/>
  <c r="OMS53" i="7" s="1"/>
  <c r="OMT53" i="7" s="1"/>
  <c r="OMU53" i="7" s="1"/>
  <c r="OMV53" i="7" s="1"/>
  <c r="OMW53" i="7" s="1"/>
  <c r="OMX53" i="7" s="1"/>
  <c r="OMY53" i="7" s="1"/>
  <c r="OMZ53" i="7" s="1"/>
  <c r="ONA53" i="7" s="1"/>
  <c r="ONB53" i="7" s="1"/>
  <c r="ONC53" i="7" s="1"/>
  <c r="OND53" i="7" s="1"/>
  <c r="ONE53" i="7" s="1"/>
  <c r="ONF53" i="7" s="1"/>
  <c r="ONG53" i="7" s="1"/>
  <c r="ONH53" i="7" s="1"/>
  <c r="ONI53" i="7" s="1"/>
  <c r="ONJ53" i="7" s="1"/>
  <c r="ONK53" i="7" s="1"/>
  <c r="ONL53" i="7" s="1"/>
  <c r="ONM53" i="7" s="1"/>
  <c r="ONN53" i="7" s="1"/>
  <c r="ONO53" i="7" s="1"/>
  <c r="ONP53" i="7" s="1"/>
  <c r="ONQ53" i="7" s="1"/>
  <c r="ONR53" i="7" s="1"/>
  <c r="ONS53" i="7" s="1"/>
  <c r="ONT53" i="7" s="1"/>
  <c r="ONU53" i="7" s="1"/>
  <c r="ONV53" i="7" s="1"/>
  <c r="ONW53" i="7" s="1"/>
  <c r="ONX53" i="7" s="1"/>
  <c r="ONY53" i="7" s="1"/>
  <c r="ONZ53" i="7" s="1"/>
  <c r="OOA53" i="7" s="1"/>
  <c r="OOB53" i="7" s="1"/>
  <c r="OOC53" i="7" s="1"/>
  <c r="OOD53" i="7" s="1"/>
  <c r="OOE53" i="7" s="1"/>
  <c r="OOF53" i="7" s="1"/>
  <c r="OOG53" i="7" s="1"/>
  <c r="OOH53" i="7" s="1"/>
  <c r="OOI53" i="7" s="1"/>
  <c r="OOJ53" i="7" s="1"/>
  <c r="OOK53" i="7" s="1"/>
  <c r="OOL53" i="7" s="1"/>
  <c r="OOM53" i="7" s="1"/>
  <c r="OON53" i="7" s="1"/>
  <c r="OOO53" i="7" s="1"/>
  <c r="OOP53" i="7" s="1"/>
  <c r="OOQ53" i="7" s="1"/>
  <c r="OOR53" i="7" s="1"/>
  <c r="OOS53" i="7" s="1"/>
  <c r="OOT53" i="7" s="1"/>
  <c r="OOU53" i="7" s="1"/>
  <c r="OOV53" i="7" s="1"/>
  <c r="OOW53" i="7" s="1"/>
  <c r="OOX53" i="7" s="1"/>
  <c r="OOY53" i="7" s="1"/>
  <c r="OOZ53" i="7" s="1"/>
  <c r="OPA53" i="7" s="1"/>
  <c r="OPB53" i="7" s="1"/>
  <c r="OPC53" i="7" s="1"/>
  <c r="OPD53" i="7" s="1"/>
  <c r="OPE53" i="7" s="1"/>
  <c r="OPF53" i="7" s="1"/>
  <c r="OPG53" i="7" s="1"/>
  <c r="OPH53" i="7" s="1"/>
  <c r="OPI53" i="7" s="1"/>
  <c r="OPJ53" i="7" s="1"/>
  <c r="OPK53" i="7" s="1"/>
  <c r="OPL53" i="7" s="1"/>
  <c r="OPM53" i="7" s="1"/>
  <c r="OPN53" i="7" s="1"/>
  <c r="OPO53" i="7" s="1"/>
  <c r="OPP53" i="7" s="1"/>
  <c r="OPQ53" i="7" s="1"/>
  <c r="OPR53" i="7" s="1"/>
  <c r="OPS53" i="7" s="1"/>
  <c r="OPT53" i="7" s="1"/>
  <c r="OPU53" i="7" s="1"/>
  <c r="OPV53" i="7" s="1"/>
  <c r="OPW53" i="7" s="1"/>
  <c r="OPX53" i="7" s="1"/>
  <c r="OPY53" i="7" s="1"/>
  <c r="OPZ53" i="7" s="1"/>
  <c r="OQA53" i="7" s="1"/>
  <c r="OQB53" i="7" s="1"/>
  <c r="OQC53" i="7" s="1"/>
  <c r="OQD53" i="7" s="1"/>
  <c r="OQE53" i="7" s="1"/>
  <c r="OQF53" i="7" s="1"/>
  <c r="OQG53" i="7" s="1"/>
  <c r="OQH53" i="7" s="1"/>
  <c r="OQI53" i="7" s="1"/>
  <c r="OQJ53" i="7" s="1"/>
  <c r="OQK53" i="7" s="1"/>
  <c r="OQL53" i="7" s="1"/>
  <c r="OQM53" i="7" s="1"/>
  <c r="OQN53" i="7" s="1"/>
  <c r="OQO53" i="7" s="1"/>
  <c r="OQP53" i="7" s="1"/>
  <c r="OQQ53" i="7" s="1"/>
  <c r="OQR53" i="7" s="1"/>
  <c r="OQS53" i="7" s="1"/>
  <c r="OQT53" i="7" s="1"/>
  <c r="OQU53" i="7" s="1"/>
  <c r="OQV53" i="7" s="1"/>
  <c r="OQW53" i="7" s="1"/>
  <c r="OQX53" i="7" s="1"/>
  <c r="OQY53" i="7" s="1"/>
  <c r="OQZ53" i="7" s="1"/>
  <c r="ORA53" i="7" s="1"/>
  <c r="ORB53" i="7" s="1"/>
  <c r="ORC53" i="7" s="1"/>
  <c r="ORD53" i="7" s="1"/>
  <c r="ORE53" i="7" s="1"/>
  <c r="ORF53" i="7" s="1"/>
  <c r="ORG53" i="7" s="1"/>
  <c r="ORH53" i="7" s="1"/>
  <c r="ORI53" i="7" s="1"/>
  <c r="ORJ53" i="7" s="1"/>
  <c r="ORK53" i="7" s="1"/>
  <c r="ORL53" i="7" s="1"/>
  <c r="ORM53" i="7" s="1"/>
  <c r="ORN53" i="7" s="1"/>
  <c r="ORO53" i="7" s="1"/>
  <c r="ORP53" i="7" s="1"/>
  <c r="ORQ53" i="7" s="1"/>
  <c r="ORR53" i="7" s="1"/>
  <c r="ORS53" i="7" s="1"/>
  <c r="ORT53" i="7" s="1"/>
  <c r="ORU53" i="7" s="1"/>
  <c r="ORV53" i="7" s="1"/>
  <c r="ORW53" i="7" s="1"/>
  <c r="ORX53" i="7" s="1"/>
  <c r="ORY53" i="7" s="1"/>
  <c r="ORZ53" i="7" s="1"/>
  <c r="OSA53" i="7" s="1"/>
  <c r="OSB53" i="7" s="1"/>
  <c r="OSC53" i="7" s="1"/>
  <c r="OSD53" i="7" s="1"/>
  <c r="OSE53" i="7" s="1"/>
  <c r="OSF53" i="7" s="1"/>
  <c r="OSG53" i="7" s="1"/>
  <c r="OSH53" i="7" s="1"/>
  <c r="OSI53" i="7" s="1"/>
  <c r="OSJ53" i="7" s="1"/>
  <c r="OSK53" i="7" s="1"/>
  <c r="OSL53" i="7" s="1"/>
  <c r="OSM53" i="7" s="1"/>
  <c r="OSN53" i="7" s="1"/>
  <c r="OSO53" i="7" s="1"/>
  <c r="OSP53" i="7" s="1"/>
  <c r="OSQ53" i="7" s="1"/>
  <c r="OSR53" i="7" s="1"/>
  <c r="OSS53" i="7" s="1"/>
  <c r="OST53" i="7" s="1"/>
  <c r="OSU53" i="7" s="1"/>
  <c r="OSV53" i="7" s="1"/>
  <c r="OSW53" i="7" s="1"/>
  <c r="OSX53" i="7" s="1"/>
  <c r="OSY53" i="7" s="1"/>
  <c r="OSZ53" i="7" s="1"/>
  <c r="OTA53" i="7" s="1"/>
  <c r="OTB53" i="7" s="1"/>
  <c r="OTC53" i="7" s="1"/>
  <c r="OTD53" i="7" s="1"/>
  <c r="OTE53" i="7" s="1"/>
  <c r="OTF53" i="7" s="1"/>
  <c r="OTG53" i="7" s="1"/>
  <c r="OTH53" i="7" s="1"/>
  <c r="OTI53" i="7" s="1"/>
  <c r="OTJ53" i="7" s="1"/>
  <c r="OTK53" i="7" s="1"/>
  <c r="OTL53" i="7" s="1"/>
  <c r="OTM53" i="7" s="1"/>
  <c r="OTN53" i="7" s="1"/>
  <c r="OTO53" i="7" s="1"/>
  <c r="OTP53" i="7" s="1"/>
  <c r="OTQ53" i="7" s="1"/>
  <c r="OTR53" i="7" s="1"/>
  <c r="OTS53" i="7" s="1"/>
  <c r="OTT53" i="7" s="1"/>
  <c r="OTU53" i="7" s="1"/>
  <c r="OTV53" i="7" s="1"/>
  <c r="OTW53" i="7" s="1"/>
  <c r="OTX53" i="7" s="1"/>
  <c r="OTY53" i="7" s="1"/>
  <c r="OTZ53" i="7" s="1"/>
  <c r="OUA53" i="7" s="1"/>
  <c r="OUB53" i="7" s="1"/>
  <c r="OUC53" i="7" s="1"/>
  <c r="OUD53" i="7" s="1"/>
  <c r="OUE53" i="7" s="1"/>
  <c r="OUF53" i="7" s="1"/>
  <c r="OUG53" i="7" s="1"/>
  <c r="OUH53" i="7" s="1"/>
  <c r="OUI53" i="7" s="1"/>
  <c r="OUJ53" i="7" s="1"/>
  <c r="OUK53" i="7" s="1"/>
  <c r="OUL53" i="7" s="1"/>
  <c r="OUM53" i="7" s="1"/>
  <c r="OUN53" i="7" s="1"/>
  <c r="OUO53" i="7" s="1"/>
  <c r="OUP53" i="7" s="1"/>
  <c r="OUQ53" i="7" s="1"/>
  <c r="OUR53" i="7" s="1"/>
  <c r="OUS53" i="7" s="1"/>
  <c r="OUT53" i="7" s="1"/>
  <c r="OUU53" i="7" s="1"/>
  <c r="OUV53" i="7" s="1"/>
  <c r="OUW53" i="7" s="1"/>
  <c r="OUX53" i="7" s="1"/>
  <c r="OUY53" i="7" s="1"/>
  <c r="OUZ53" i="7" s="1"/>
  <c r="OVA53" i="7" s="1"/>
  <c r="OVB53" i="7" s="1"/>
  <c r="OVC53" i="7" s="1"/>
  <c r="OVD53" i="7" s="1"/>
  <c r="OVE53" i="7" s="1"/>
  <c r="OVF53" i="7" s="1"/>
  <c r="OVG53" i="7" s="1"/>
  <c r="OVH53" i="7" s="1"/>
  <c r="OVI53" i="7" s="1"/>
  <c r="OVJ53" i="7" s="1"/>
  <c r="OVK53" i="7" s="1"/>
  <c r="OVL53" i="7" s="1"/>
  <c r="OVM53" i="7" s="1"/>
  <c r="OVN53" i="7" s="1"/>
  <c r="OVO53" i="7" s="1"/>
  <c r="OVP53" i="7" s="1"/>
  <c r="OVQ53" i="7" s="1"/>
  <c r="OVR53" i="7" s="1"/>
  <c r="OVS53" i="7" s="1"/>
  <c r="OVT53" i="7" s="1"/>
  <c r="OVU53" i="7" s="1"/>
  <c r="OVV53" i="7" s="1"/>
  <c r="OVW53" i="7" s="1"/>
  <c r="OVX53" i="7" s="1"/>
  <c r="OVY53" i="7" s="1"/>
  <c r="OVZ53" i="7" s="1"/>
  <c r="OWA53" i="7" s="1"/>
  <c r="OWB53" i="7" s="1"/>
  <c r="OWC53" i="7" s="1"/>
  <c r="OWD53" i="7" s="1"/>
  <c r="OWE53" i="7" s="1"/>
  <c r="OWF53" i="7" s="1"/>
  <c r="OWG53" i="7" s="1"/>
  <c r="OWH53" i="7" s="1"/>
  <c r="OWI53" i="7" s="1"/>
  <c r="OWJ53" i="7" s="1"/>
  <c r="OWK53" i="7" s="1"/>
  <c r="OWL53" i="7" s="1"/>
  <c r="OWM53" i="7" s="1"/>
  <c r="OWN53" i="7" s="1"/>
  <c r="OWO53" i="7" s="1"/>
  <c r="OWP53" i="7" s="1"/>
  <c r="OWQ53" i="7" s="1"/>
  <c r="OWR53" i="7" s="1"/>
  <c r="OWS53" i="7" s="1"/>
  <c r="OWT53" i="7" s="1"/>
  <c r="OWU53" i="7" s="1"/>
  <c r="OWV53" i="7" s="1"/>
  <c r="OWW53" i="7" s="1"/>
  <c r="OWX53" i="7" s="1"/>
  <c r="OWY53" i="7" s="1"/>
  <c r="OWZ53" i="7" s="1"/>
  <c r="OXA53" i="7" s="1"/>
  <c r="OXB53" i="7" s="1"/>
  <c r="OXC53" i="7" s="1"/>
  <c r="OXD53" i="7" s="1"/>
  <c r="OXE53" i="7" s="1"/>
  <c r="OXF53" i="7" s="1"/>
  <c r="OXG53" i="7" s="1"/>
  <c r="OXH53" i="7" s="1"/>
  <c r="OXI53" i="7" s="1"/>
  <c r="OXJ53" i="7" s="1"/>
  <c r="OXK53" i="7" s="1"/>
  <c r="OXL53" i="7" s="1"/>
  <c r="OXM53" i="7" s="1"/>
  <c r="OXN53" i="7" s="1"/>
  <c r="OXO53" i="7" s="1"/>
  <c r="OXP53" i="7" s="1"/>
  <c r="OXQ53" i="7" s="1"/>
  <c r="OXR53" i="7" s="1"/>
  <c r="OXS53" i="7" s="1"/>
  <c r="OXT53" i="7" s="1"/>
  <c r="OXU53" i="7" s="1"/>
  <c r="OXV53" i="7" s="1"/>
  <c r="OXW53" i="7" s="1"/>
  <c r="OXX53" i="7" s="1"/>
  <c r="OXY53" i="7" s="1"/>
  <c r="OXZ53" i="7" s="1"/>
  <c r="OYA53" i="7" s="1"/>
  <c r="OYB53" i="7" s="1"/>
  <c r="OYC53" i="7" s="1"/>
  <c r="OYD53" i="7" s="1"/>
  <c r="OYE53" i="7" s="1"/>
  <c r="OYF53" i="7" s="1"/>
  <c r="OYG53" i="7" s="1"/>
  <c r="OYH53" i="7" s="1"/>
  <c r="OYI53" i="7" s="1"/>
  <c r="OYJ53" i="7" s="1"/>
  <c r="OYK53" i="7" s="1"/>
  <c r="OYL53" i="7" s="1"/>
  <c r="OYM53" i="7" s="1"/>
  <c r="OYN53" i="7" s="1"/>
  <c r="OYO53" i="7" s="1"/>
  <c r="OYP53" i="7" s="1"/>
  <c r="OYQ53" i="7" s="1"/>
  <c r="OYR53" i="7" s="1"/>
  <c r="OYS53" i="7" s="1"/>
  <c r="OYT53" i="7" s="1"/>
  <c r="OYU53" i="7" s="1"/>
  <c r="OYV53" i="7" s="1"/>
  <c r="OYW53" i="7" s="1"/>
  <c r="OYX53" i="7" s="1"/>
  <c r="OYY53" i="7" s="1"/>
  <c r="OYZ53" i="7" s="1"/>
  <c r="OZA53" i="7" s="1"/>
  <c r="OZB53" i="7" s="1"/>
  <c r="OZC53" i="7" s="1"/>
  <c r="OZD53" i="7" s="1"/>
  <c r="OZE53" i="7" s="1"/>
  <c r="OZF53" i="7" s="1"/>
  <c r="OZG53" i="7" s="1"/>
  <c r="OZH53" i="7" s="1"/>
  <c r="OZI53" i="7" s="1"/>
  <c r="OZJ53" i="7" s="1"/>
  <c r="OZK53" i="7" s="1"/>
  <c r="OZL53" i="7" s="1"/>
  <c r="OZM53" i="7" s="1"/>
  <c r="OZN53" i="7" s="1"/>
  <c r="OZO53" i="7" s="1"/>
  <c r="OZP53" i="7" s="1"/>
  <c r="OZQ53" i="7" s="1"/>
  <c r="OZR53" i="7" s="1"/>
  <c r="OZS53" i="7" s="1"/>
  <c r="OZT53" i="7" s="1"/>
  <c r="OZU53" i="7" s="1"/>
  <c r="OZV53" i="7" s="1"/>
  <c r="OZW53" i="7" s="1"/>
  <c r="OZX53" i="7" s="1"/>
  <c r="OZY53" i="7" s="1"/>
  <c r="OZZ53" i="7" s="1"/>
  <c r="PAA53" i="7" s="1"/>
  <c r="PAB53" i="7" s="1"/>
  <c r="PAC53" i="7" s="1"/>
  <c r="PAD53" i="7" s="1"/>
  <c r="PAE53" i="7" s="1"/>
  <c r="PAF53" i="7" s="1"/>
  <c r="PAG53" i="7" s="1"/>
  <c r="PAH53" i="7" s="1"/>
  <c r="PAI53" i="7" s="1"/>
  <c r="PAJ53" i="7" s="1"/>
  <c r="PAK53" i="7" s="1"/>
  <c r="PAL53" i="7" s="1"/>
  <c r="PAM53" i="7" s="1"/>
  <c r="PAN53" i="7" s="1"/>
  <c r="PAO53" i="7" s="1"/>
  <c r="PAP53" i="7" s="1"/>
  <c r="PAQ53" i="7" s="1"/>
  <c r="PAR53" i="7" s="1"/>
  <c r="PAS53" i="7" s="1"/>
  <c r="PAT53" i="7" s="1"/>
  <c r="PAU53" i="7" s="1"/>
  <c r="PAV53" i="7" s="1"/>
  <c r="PAW53" i="7" s="1"/>
  <c r="PAX53" i="7" s="1"/>
  <c r="PAY53" i="7" s="1"/>
  <c r="PAZ53" i="7" s="1"/>
  <c r="PBA53" i="7" s="1"/>
  <c r="PBB53" i="7" s="1"/>
  <c r="PBC53" i="7" s="1"/>
  <c r="PBD53" i="7" s="1"/>
  <c r="PBE53" i="7" s="1"/>
  <c r="PBF53" i="7" s="1"/>
  <c r="PBG53" i="7" s="1"/>
  <c r="PBH53" i="7" s="1"/>
  <c r="PBI53" i="7" s="1"/>
  <c r="PBJ53" i="7" s="1"/>
  <c r="PBK53" i="7" s="1"/>
  <c r="PBL53" i="7" s="1"/>
  <c r="PBM53" i="7" s="1"/>
  <c r="PBN53" i="7" s="1"/>
  <c r="PBO53" i="7" s="1"/>
  <c r="PBP53" i="7" s="1"/>
  <c r="PBQ53" i="7" s="1"/>
  <c r="PBR53" i="7" s="1"/>
  <c r="PBS53" i="7" s="1"/>
  <c r="PBT53" i="7" s="1"/>
  <c r="PBU53" i="7" s="1"/>
  <c r="PBV53" i="7" s="1"/>
  <c r="PBW53" i="7" s="1"/>
  <c r="PBX53" i="7" s="1"/>
  <c r="PBY53" i="7" s="1"/>
  <c r="PBZ53" i="7" s="1"/>
  <c r="PCA53" i="7" s="1"/>
  <c r="PCB53" i="7" s="1"/>
  <c r="PCC53" i="7" s="1"/>
  <c r="PCD53" i="7" s="1"/>
  <c r="PCE53" i="7" s="1"/>
  <c r="PCF53" i="7" s="1"/>
  <c r="PCG53" i="7" s="1"/>
  <c r="PCH53" i="7" s="1"/>
  <c r="PCI53" i="7" s="1"/>
  <c r="PCJ53" i="7" s="1"/>
  <c r="PCK53" i="7" s="1"/>
  <c r="PCL53" i="7" s="1"/>
  <c r="PCM53" i="7" s="1"/>
  <c r="PCN53" i="7" s="1"/>
  <c r="PCO53" i="7" s="1"/>
  <c r="PCP53" i="7" s="1"/>
  <c r="PCQ53" i="7" s="1"/>
  <c r="PCR53" i="7" s="1"/>
  <c r="PCS53" i="7" s="1"/>
  <c r="PCT53" i="7" s="1"/>
  <c r="PCU53" i="7" s="1"/>
  <c r="PCV53" i="7" s="1"/>
  <c r="PCW53" i="7" s="1"/>
  <c r="PCX53" i="7" s="1"/>
  <c r="PCY53" i="7" s="1"/>
  <c r="PCZ53" i="7" s="1"/>
  <c r="PDA53" i="7" s="1"/>
  <c r="PDB53" i="7" s="1"/>
  <c r="PDC53" i="7" s="1"/>
  <c r="PDD53" i="7" s="1"/>
  <c r="PDE53" i="7" s="1"/>
  <c r="PDF53" i="7" s="1"/>
  <c r="PDG53" i="7" s="1"/>
  <c r="PDH53" i="7" s="1"/>
  <c r="PDI53" i="7" s="1"/>
  <c r="PDJ53" i="7" s="1"/>
  <c r="PDK53" i="7" s="1"/>
  <c r="PDL53" i="7" s="1"/>
  <c r="PDM53" i="7" s="1"/>
  <c r="PDN53" i="7" s="1"/>
  <c r="PDO53" i="7" s="1"/>
  <c r="PDP53" i="7" s="1"/>
  <c r="PDQ53" i="7" s="1"/>
  <c r="PDR53" i="7" s="1"/>
  <c r="PDS53" i="7" s="1"/>
  <c r="PDT53" i="7" s="1"/>
  <c r="PDU53" i="7" s="1"/>
  <c r="PDV53" i="7" s="1"/>
  <c r="PDW53" i="7" s="1"/>
  <c r="PDX53" i="7" s="1"/>
  <c r="PDY53" i="7" s="1"/>
  <c r="PDZ53" i="7" s="1"/>
  <c r="PEA53" i="7" s="1"/>
  <c r="PEB53" i="7" s="1"/>
  <c r="PEC53" i="7" s="1"/>
  <c r="PED53" i="7" s="1"/>
  <c r="PEE53" i="7" s="1"/>
  <c r="PEF53" i="7" s="1"/>
  <c r="PEG53" i="7" s="1"/>
  <c r="PEH53" i="7" s="1"/>
  <c r="PEI53" i="7" s="1"/>
  <c r="PEJ53" i="7" s="1"/>
  <c r="PEK53" i="7" s="1"/>
  <c r="PEL53" i="7" s="1"/>
  <c r="PEM53" i="7" s="1"/>
  <c r="PEN53" i="7" s="1"/>
  <c r="PEO53" i="7" s="1"/>
  <c r="PEP53" i="7" s="1"/>
  <c r="PEQ53" i="7" s="1"/>
  <c r="PER53" i="7" s="1"/>
  <c r="PES53" i="7" s="1"/>
  <c r="PET53" i="7" s="1"/>
  <c r="PEU53" i="7" s="1"/>
  <c r="PEV53" i="7" s="1"/>
  <c r="PEW53" i="7" s="1"/>
  <c r="PEX53" i="7" s="1"/>
  <c r="PEY53" i="7" s="1"/>
  <c r="PEZ53" i="7" s="1"/>
  <c r="PFA53" i="7" s="1"/>
  <c r="PFB53" i="7" s="1"/>
  <c r="PFC53" i="7" s="1"/>
  <c r="PFD53" i="7" s="1"/>
  <c r="PFE53" i="7" s="1"/>
  <c r="PFF53" i="7" s="1"/>
  <c r="PFG53" i="7" s="1"/>
  <c r="PFH53" i="7" s="1"/>
  <c r="PFI53" i="7" s="1"/>
  <c r="PFJ53" i="7" s="1"/>
  <c r="PFK53" i="7" s="1"/>
  <c r="PFL53" i="7" s="1"/>
  <c r="PFM53" i="7" s="1"/>
  <c r="PFN53" i="7" s="1"/>
  <c r="PFO53" i="7" s="1"/>
  <c r="PFP53" i="7" s="1"/>
  <c r="PFQ53" i="7" s="1"/>
  <c r="PFR53" i="7" s="1"/>
  <c r="PFS53" i="7" s="1"/>
  <c r="PFT53" i="7" s="1"/>
  <c r="PFU53" i="7" s="1"/>
  <c r="PFV53" i="7" s="1"/>
  <c r="PFW53" i="7" s="1"/>
  <c r="PFX53" i="7" s="1"/>
  <c r="PFY53" i="7" s="1"/>
  <c r="PFZ53" i="7" s="1"/>
  <c r="PGA53" i="7" s="1"/>
  <c r="PGB53" i="7" s="1"/>
  <c r="PGC53" i="7" s="1"/>
  <c r="PGD53" i="7" s="1"/>
  <c r="PGE53" i="7" s="1"/>
  <c r="PGF53" i="7" s="1"/>
  <c r="PGG53" i="7" s="1"/>
  <c r="PGH53" i="7" s="1"/>
  <c r="PGI53" i="7" s="1"/>
  <c r="PGJ53" i="7" s="1"/>
  <c r="PGK53" i="7" s="1"/>
  <c r="PGL53" i="7" s="1"/>
  <c r="PGM53" i="7" s="1"/>
  <c r="PGN53" i="7" s="1"/>
  <c r="PGO53" i="7" s="1"/>
  <c r="PGP53" i="7" s="1"/>
  <c r="PGQ53" i="7" s="1"/>
  <c r="PGR53" i="7" s="1"/>
  <c r="PGS53" i="7" s="1"/>
  <c r="PGT53" i="7" s="1"/>
  <c r="PGU53" i="7" s="1"/>
  <c r="PGV53" i="7" s="1"/>
  <c r="PGW53" i="7" s="1"/>
  <c r="PGX53" i="7" s="1"/>
  <c r="PGY53" i="7" s="1"/>
  <c r="PGZ53" i="7" s="1"/>
  <c r="PHA53" i="7" s="1"/>
  <c r="PHB53" i="7" s="1"/>
  <c r="PHC53" i="7" s="1"/>
  <c r="PHD53" i="7" s="1"/>
  <c r="PHE53" i="7" s="1"/>
  <c r="PHF53" i="7" s="1"/>
  <c r="PHG53" i="7" s="1"/>
  <c r="PHH53" i="7" s="1"/>
  <c r="PHI53" i="7" s="1"/>
  <c r="PHJ53" i="7" s="1"/>
  <c r="PHK53" i="7" s="1"/>
  <c r="PHL53" i="7" s="1"/>
  <c r="PHM53" i="7" s="1"/>
  <c r="PHN53" i="7" s="1"/>
  <c r="PHO53" i="7" s="1"/>
  <c r="PHP53" i="7" s="1"/>
  <c r="PHQ53" i="7" s="1"/>
  <c r="PHR53" i="7" s="1"/>
  <c r="PHS53" i="7" s="1"/>
  <c r="PHT53" i="7" s="1"/>
  <c r="PHU53" i="7" s="1"/>
  <c r="PHV53" i="7" s="1"/>
  <c r="PHW53" i="7" s="1"/>
  <c r="PHX53" i="7" s="1"/>
  <c r="PHY53" i="7" s="1"/>
  <c r="PHZ53" i="7" s="1"/>
  <c r="PIA53" i="7" s="1"/>
  <c r="PIB53" i="7" s="1"/>
  <c r="PIC53" i="7" s="1"/>
  <c r="PID53" i="7" s="1"/>
  <c r="PIE53" i="7" s="1"/>
  <c r="PIF53" i="7" s="1"/>
  <c r="PIG53" i="7" s="1"/>
  <c r="PIH53" i="7" s="1"/>
  <c r="PII53" i="7" s="1"/>
  <c r="PIJ53" i="7" s="1"/>
  <c r="PIK53" i="7" s="1"/>
  <c r="PIL53" i="7" s="1"/>
  <c r="PIM53" i="7" s="1"/>
  <c r="PIN53" i="7" s="1"/>
  <c r="PIO53" i="7" s="1"/>
  <c r="PIP53" i="7" s="1"/>
  <c r="PIQ53" i="7" s="1"/>
  <c r="PIR53" i="7" s="1"/>
  <c r="PIS53" i="7" s="1"/>
  <c r="PIT53" i="7" s="1"/>
  <c r="PIU53" i="7" s="1"/>
  <c r="PIV53" i="7" s="1"/>
  <c r="PIW53" i="7" s="1"/>
  <c r="PIX53" i="7" s="1"/>
  <c r="PIY53" i="7" s="1"/>
  <c r="PIZ53" i="7" s="1"/>
  <c r="PJA53" i="7" s="1"/>
  <c r="PJB53" i="7" s="1"/>
  <c r="PJC53" i="7" s="1"/>
  <c r="PJD53" i="7" s="1"/>
  <c r="PJE53" i="7" s="1"/>
  <c r="PJF53" i="7" s="1"/>
  <c r="PJG53" i="7" s="1"/>
  <c r="PJH53" i="7" s="1"/>
  <c r="PJI53" i="7" s="1"/>
  <c r="PJJ53" i="7" s="1"/>
  <c r="PJK53" i="7" s="1"/>
  <c r="PJL53" i="7" s="1"/>
  <c r="PJM53" i="7" s="1"/>
  <c r="PJN53" i="7" s="1"/>
  <c r="PJO53" i="7" s="1"/>
  <c r="PJP53" i="7" s="1"/>
  <c r="PJQ53" i="7" s="1"/>
  <c r="PJR53" i="7" s="1"/>
  <c r="PJS53" i="7" s="1"/>
  <c r="PJT53" i="7" s="1"/>
  <c r="PJU53" i="7" s="1"/>
  <c r="PJV53" i="7" s="1"/>
  <c r="PJW53" i="7" s="1"/>
  <c r="PJX53" i="7" s="1"/>
  <c r="PJY53" i="7" s="1"/>
  <c r="PJZ53" i="7" s="1"/>
  <c r="PKA53" i="7" s="1"/>
  <c r="PKB53" i="7" s="1"/>
  <c r="PKC53" i="7" s="1"/>
  <c r="PKD53" i="7" s="1"/>
  <c r="PKE53" i="7" s="1"/>
  <c r="PKF53" i="7" s="1"/>
  <c r="PKG53" i="7" s="1"/>
  <c r="PKH53" i="7" s="1"/>
  <c r="PKI53" i="7" s="1"/>
  <c r="PKJ53" i="7" s="1"/>
  <c r="PKK53" i="7" s="1"/>
  <c r="PKL53" i="7" s="1"/>
  <c r="PKM53" i="7" s="1"/>
  <c r="PKN53" i="7" s="1"/>
  <c r="PKO53" i="7" s="1"/>
  <c r="PKP53" i="7" s="1"/>
  <c r="PKQ53" i="7" s="1"/>
  <c r="PKR53" i="7" s="1"/>
  <c r="PKS53" i="7" s="1"/>
  <c r="PKT53" i="7" s="1"/>
  <c r="PKU53" i="7" s="1"/>
  <c r="PKV53" i="7" s="1"/>
  <c r="PKW53" i="7" s="1"/>
  <c r="PKX53" i="7" s="1"/>
  <c r="PKY53" i="7" s="1"/>
  <c r="PKZ53" i="7" s="1"/>
  <c r="PLA53" i="7" s="1"/>
  <c r="PLB53" i="7" s="1"/>
  <c r="PLC53" i="7" s="1"/>
  <c r="PLD53" i="7" s="1"/>
  <c r="PLE53" i="7" s="1"/>
  <c r="PLF53" i="7" s="1"/>
  <c r="PLG53" i="7" s="1"/>
  <c r="PLH53" i="7" s="1"/>
  <c r="PLI53" i="7" s="1"/>
  <c r="PLJ53" i="7" s="1"/>
  <c r="PLK53" i="7" s="1"/>
  <c r="PLL53" i="7" s="1"/>
  <c r="PLM53" i="7" s="1"/>
  <c r="PLN53" i="7" s="1"/>
  <c r="PLO53" i="7" s="1"/>
  <c r="PLP53" i="7" s="1"/>
  <c r="PLQ53" i="7" s="1"/>
  <c r="PLR53" i="7" s="1"/>
  <c r="PLS53" i="7" s="1"/>
  <c r="PLT53" i="7" s="1"/>
  <c r="PLU53" i="7" s="1"/>
  <c r="PLV53" i="7" s="1"/>
  <c r="PLW53" i="7" s="1"/>
  <c r="PLX53" i="7" s="1"/>
  <c r="PLY53" i="7" s="1"/>
  <c r="PLZ53" i="7" s="1"/>
  <c r="PMA53" i="7" s="1"/>
  <c r="PMB53" i="7" s="1"/>
  <c r="PMC53" i="7" s="1"/>
  <c r="PMD53" i="7" s="1"/>
  <c r="PME53" i="7" s="1"/>
  <c r="PMF53" i="7" s="1"/>
  <c r="PMG53" i="7" s="1"/>
  <c r="PMH53" i="7" s="1"/>
  <c r="PMI53" i="7" s="1"/>
  <c r="PMJ53" i="7" s="1"/>
  <c r="PMK53" i="7" s="1"/>
  <c r="PML53" i="7" s="1"/>
  <c r="PMM53" i="7" s="1"/>
  <c r="PMN53" i="7" s="1"/>
  <c r="PMO53" i="7" s="1"/>
  <c r="PMP53" i="7" s="1"/>
  <c r="PMQ53" i="7" s="1"/>
  <c r="PMR53" i="7" s="1"/>
  <c r="PMS53" i="7" s="1"/>
  <c r="PMT53" i="7" s="1"/>
  <c r="PMU53" i="7" s="1"/>
  <c r="PMV53" i="7" s="1"/>
  <c r="PMW53" i="7" s="1"/>
  <c r="PMX53" i="7" s="1"/>
  <c r="PMY53" i="7" s="1"/>
  <c r="PMZ53" i="7" s="1"/>
  <c r="PNA53" i="7" s="1"/>
  <c r="PNB53" i="7" s="1"/>
  <c r="PNC53" i="7" s="1"/>
  <c r="PND53" i="7" s="1"/>
  <c r="PNE53" i="7" s="1"/>
  <c r="PNF53" i="7" s="1"/>
  <c r="PNG53" i="7" s="1"/>
  <c r="PNH53" i="7" s="1"/>
  <c r="PNI53" i="7" s="1"/>
  <c r="PNJ53" i="7" s="1"/>
  <c r="PNK53" i="7" s="1"/>
  <c r="PNL53" i="7" s="1"/>
  <c r="PNM53" i="7" s="1"/>
  <c r="PNN53" i="7" s="1"/>
  <c r="PNO53" i="7" s="1"/>
  <c r="PNP53" i="7" s="1"/>
  <c r="PNQ53" i="7" s="1"/>
  <c r="PNR53" i="7" s="1"/>
  <c r="PNS53" i="7" s="1"/>
  <c r="PNT53" i="7" s="1"/>
  <c r="PNU53" i="7" s="1"/>
  <c r="PNV53" i="7" s="1"/>
  <c r="PNW53" i="7" s="1"/>
  <c r="PNX53" i="7" s="1"/>
  <c r="PNY53" i="7" s="1"/>
  <c r="PNZ53" i="7" s="1"/>
  <c r="POA53" i="7" s="1"/>
  <c r="POB53" i="7" s="1"/>
  <c r="POC53" i="7" s="1"/>
  <c r="POD53" i="7" s="1"/>
  <c r="POE53" i="7" s="1"/>
  <c r="POF53" i="7" s="1"/>
  <c r="POG53" i="7" s="1"/>
  <c r="POH53" i="7" s="1"/>
  <c r="POI53" i="7" s="1"/>
  <c r="POJ53" i="7" s="1"/>
  <c r="POK53" i="7" s="1"/>
  <c r="POL53" i="7" s="1"/>
  <c r="POM53" i="7" s="1"/>
  <c r="PON53" i="7" s="1"/>
  <c r="POO53" i="7" s="1"/>
  <c r="POP53" i="7" s="1"/>
  <c r="POQ53" i="7" s="1"/>
  <c r="POR53" i="7" s="1"/>
  <c r="POS53" i="7" s="1"/>
  <c r="POT53" i="7" s="1"/>
  <c r="POU53" i="7" s="1"/>
  <c r="POV53" i="7" s="1"/>
  <c r="POW53" i="7" s="1"/>
  <c r="POX53" i="7" s="1"/>
  <c r="POY53" i="7" s="1"/>
  <c r="POZ53" i="7" s="1"/>
  <c r="PPA53" i="7" s="1"/>
  <c r="PPB53" i="7" s="1"/>
  <c r="PPC53" i="7" s="1"/>
  <c r="PPD53" i="7" s="1"/>
  <c r="PPE53" i="7" s="1"/>
  <c r="PPF53" i="7" s="1"/>
  <c r="PPG53" i="7" s="1"/>
  <c r="PPH53" i="7" s="1"/>
  <c r="PPI53" i="7" s="1"/>
  <c r="PPJ53" i="7" s="1"/>
  <c r="PPK53" i="7" s="1"/>
  <c r="PPL53" i="7" s="1"/>
  <c r="PPM53" i="7" s="1"/>
  <c r="PPN53" i="7" s="1"/>
  <c r="PPO53" i="7" s="1"/>
  <c r="PPP53" i="7" s="1"/>
  <c r="PPQ53" i="7" s="1"/>
  <c r="PPR53" i="7" s="1"/>
  <c r="PPS53" i="7" s="1"/>
  <c r="PPT53" i="7" s="1"/>
  <c r="PPU53" i="7" s="1"/>
  <c r="PPV53" i="7" s="1"/>
  <c r="PPW53" i="7" s="1"/>
  <c r="PPX53" i="7" s="1"/>
  <c r="PPY53" i="7" s="1"/>
  <c r="PPZ53" i="7" s="1"/>
  <c r="PQA53" i="7" s="1"/>
  <c r="PQB53" i="7" s="1"/>
  <c r="PQC53" i="7" s="1"/>
  <c r="PQD53" i="7" s="1"/>
  <c r="PQE53" i="7" s="1"/>
  <c r="PQF53" i="7" s="1"/>
  <c r="PQG53" i="7" s="1"/>
  <c r="PQH53" i="7" s="1"/>
  <c r="PQI53" i="7" s="1"/>
  <c r="PQJ53" i="7" s="1"/>
  <c r="PQK53" i="7" s="1"/>
  <c r="PQL53" i="7" s="1"/>
  <c r="PQM53" i="7" s="1"/>
  <c r="PQN53" i="7" s="1"/>
  <c r="PQO53" i="7" s="1"/>
  <c r="PQP53" i="7" s="1"/>
  <c r="PQQ53" i="7" s="1"/>
  <c r="PQR53" i="7" s="1"/>
  <c r="PQS53" i="7" s="1"/>
  <c r="PQT53" i="7" s="1"/>
  <c r="PQU53" i="7" s="1"/>
  <c r="PQV53" i="7" s="1"/>
  <c r="PQW53" i="7" s="1"/>
  <c r="PQX53" i="7" s="1"/>
  <c r="PQY53" i="7" s="1"/>
  <c r="PQZ53" i="7" s="1"/>
  <c r="PRA53" i="7" s="1"/>
  <c r="PRB53" i="7" s="1"/>
  <c r="PRC53" i="7" s="1"/>
  <c r="PRD53" i="7" s="1"/>
  <c r="PRE53" i="7" s="1"/>
  <c r="PRF53" i="7" s="1"/>
  <c r="PRG53" i="7" s="1"/>
  <c r="PRH53" i="7" s="1"/>
  <c r="PRI53" i="7" s="1"/>
  <c r="PRJ53" i="7" s="1"/>
  <c r="PRK53" i="7" s="1"/>
  <c r="PRL53" i="7" s="1"/>
  <c r="PRM53" i="7" s="1"/>
  <c r="PRN53" i="7" s="1"/>
  <c r="PRO53" i="7" s="1"/>
  <c r="PRP53" i="7" s="1"/>
  <c r="PRQ53" i="7" s="1"/>
  <c r="PRR53" i="7" s="1"/>
  <c r="PRS53" i="7" s="1"/>
  <c r="PRT53" i="7" s="1"/>
  <c r="PRU53" i="7" s="1"/>
  <c r="PRV53" i="7" s="1"/>
  <c r="PRW53" i="7" s="1"/>
  <c r="PRX53" i="7" s="1"/>
  <c r="PRY53" i="7" s="1"/>
  <c r="PRZ53" i="7" s="1"/>
  <c r="PSA53" i="7" s="1"/>
  <c r="PSB53" i="7" s="1"/>
  <c r="PSC53" i="7" s="1"/>
  <c r="PSD53" i="7" s="1"/>
  <c r="PSE53" i="7" s="1"/>
  <c r="PSF53" i="7" s="1"/>
  <c r="PSG53" i="7" s="1"/>
  <c r="PSH53" i="7" s="1"/>
  <c r="PSI53" i="7" s="1"/>
  <c r="PSJ53" i="7" s="1"/>
  <c r="PSK53" i="7" s="1"/>
  <c r="PSL53" i="7" s="1"/>
  <c r="PSM53" i="7" s="1"/>
  <c r="PSN53" i="7" s="1"/>
  <c r="PSO53" i="7" s="1"/>
  <c r="PSP53" i="7" s="1"/>
  <c r="PSQ53" i="7" s="1"/>
  <c r="PSR53" i="7" s="1"/>
  <c r="PSS53" i="7" s="1"/>
  <c r="PST53" i="7" s="1"/>
  <c r="PSU53" i="7" s="1"/>
  <c r="PSV53" i="7" s="1"/>
  <c r="PSW53" i="7" s="1"/>
  <c r="PSX53" i="7" s="1"/>
  <c r="PSY53" i="7" s="1"/>
  <c r="PSZ53" i="7" s="1"/>
  <c r="PTA53" i="7" s="1"/>
  <c r="PTB53" i="7" s="1"/>
  <c r="PTC53" i="7" s="1"/>
  <c r="PTD53" i="7" s="1"/>
  <c r="PTE53" i="7" s="1"/>
  <c r="PTF53" i="7" s="1"/>
  <c r="PTG53" i="7" s="1"/>
  <c r="PTH53" i="7" s="1"/>
  <c r="PTI53" i="7" s="1"/>
  <c r="PTJ53" i="7" s="1"/>
  <c r="PTK53" i="7" s="1"/>
  <c r="PTL53" i="7" s="1"/>
  <c r="PTM53" i="7" s="1"/>
  <c r="PTN53" i="7" s="1"/>
  <c r="PTO53" i="7" s="1"/>
  <c r="PTP53" i="7" s="1"/>
  <c r="PTQ53" i="7" s="1"/>
  <c r="PTR53" i="7" s="1"/>
  <c r="PTS53" i="7" s="1"/>
  <c r="PTT53" i="7" s="1"/>
  <c r="PTU53" i="7" s="1"/>
  <c r="PTV53" i="7" s="1"/>
  <c r="PTW53" i="7" s="1"/>
  <c r="PTX53" i="7" s="1"/>
  <c r="PTY53" i="7" s="1"/>
  <c r="PTZ53" i="7" s="1"/>
  <c r="PUA53" i="7" s="1"/>
  <c r="PUB53" i="7" s="1"/>
  <c r="PUC53" i="7" s="1"/>
  <c r="PUD53" i="7" s="1"/>
  <c r="PUE53" i="7" s="1"/>
  <c r="PUF53" i="7" s="1"/>
  <c r="PUG53" i="7" s="1"/>
  <c r="PUH53" i="7" s="1"/>
  <c r="PUI53" i="7" s="1"/>
  <c r="PUJ53" i="7" s="1"/>
  <c r="PUK53" i="7" s="1"/>
  <c r="PUL53" i="7" s="1"/>
  <c r="PUM53" i="7" s="1"/>
  <c r="PUN53" i="7" s="1"/>
  <c r="PUO53" i="7" s="1"/>
  <c r="PUP53" i="7" s="1"/>
  <c r="PUQ53" i="7" s="1"/>
  <c r="PUR53" i="7" s="1"/>
  <c r="PUS53" i="7" s="1"/>
  <c r="PUT53" i="7" s="1"/>
  <c r="PUU53" i="7" s="1"/>
  <c r="PUV53" i="7" s="1"/>
  <c r="PUW53" i="7" s="1"/>
  <c r="PUX53" i="7" s="1"/>
  <c r="PUY53" i="7" s="1"/>
  <c r="PUZ53" i="7" s="1"/>
  <c r="PVA53" i="7" s="1"/>
  <c r="PVB53" i="7" s="1"/>
  <c r="PVC53" i="7" s="1"/>
  <c r="PVD53" i="7" s="1"/>
  <c r="PVE53" i="7" s="1"/>
  <c r="PVF53" i="7" s="1"/>
  <c r="PVG53" i="7" s="1"/>
  <c r="PVH53" i="7" s="1"/>
  <c r="PVI53" i="7" s="1"/>
  <c r="PVJ53" i="7" s="1"/>
  <c r="PVK53" i="7" s="1"/>
  <c r="PVL53" i="7" s="1"/>
  <c r="PVM53" i="7" s="1"/>
  <c r="PVN53" i="7" s="1"/>
  <c r="PVO53" i="7" s="1"/>
  <c r="PVP53" i="7" s="1"/>
  <c r="PVQ53" i="7" s="1"/>
  <c r="PVR53" i="7" s="1"/>
  <c r="PVS53" i="7" s="1"/>
  <c r="PVT53" i="7" s="1"/>
  <c r="PVU53" i="7" s="1"/>
  <c r="PVV53" i="7" s="1"/>
  <c r="PVW53" i="7" s="1"/>
  <c r="PVX53" i="7" s="1"/>
  <c r="PVY53" i="7" s="1"/>
  <c r="PVZ53" i="7" s="1"/>
  <c r="PWA53" i="7" s="1"/>
  <c r="PWB53" i="7" s="1"/>
  <c r="PWC53" i="7" s="1"/>
  <c r="PWD53" i="7" s="1"/>
  <c r="PWE53" i="7" s="1"/>
  <c r="PWF53" i="7" s="1"/>
  <c r="PWG53" i="7" s="1"/>
  <c r="PWH53" i="7" s="1"/>
  <c r="PWI53" i="7" s="1"/>
  <c r="PWJ53" i="7" s="1"/>
  <c r="PWK53" i="7" s="1"/>
  <c r="PWL53" i="7" s="1"/>
  <c r="PWM53" i="7" s="1"/>
  <c r="PWN53" i="7" s="1"/>
  <c r="PWO53" i="7" s="1"/>
  <c r="PWP53" i="7" s="1"/>
  <c r="PWQ53" i="7" s="1"/>
  <c r="PWR53" i="7" s="1"/>
  <c r="PWS53" i="7" s="1"/>
  <c r="PWT53" i="7" s="1"/>
  <c r="PWU53" i="7" s="1"/>
  <c r="PWV53" i="7" s="1"/>
  <c r="PWW53" i="7" s="1"/>
  <c r="PWX53" i="7" s="1"/>
  <c r="PWY53" i="7" s="1"/>
  <c r="PWZ53" i="7" s="1"/>
  <c r="PXA53" i="7" s="1"/>
  <c r="PXB53" i="7" s="1"/>
  <c r="PXC53" i="7" s="1"/>
  <c r="PXD53" i="7" s="1"/>
  <c r="PXE53" i="7" s="1"/>
  <c r="PXF53" i="7" s="1"/>
  <c r="PXG53" i="7" s="1"/>
  <c r="PXH53" i="7" s="1"/>
  <c r="PXI53" i="7" s="1"/>
  <c r="PXJ53" i="7" s="1"/>
  <c r="PXK53" i="7" s="1"/>
  <c r="PXL53" i="7" s="1"/>
  <c r="PXM53" i="7" s="1"/>
  <c r="PXN53" i="7" s="1"/>
  <c r="PXO53" i="7" s="1"/>
  <c r="PXP53" i="7" s="1"/>
  <c r="PXQ53" i="7" s="1"/>
  <c r="PXR53" i="7" s="1"/>
  <c r="PXS53" i="7" s="1"/>
  <c r="PXT53" i="7" s="1"/>
  <c r="PXU53" i="7" s="1"/>
  <c r="PXV53" i="7" s="1"/>
  <c r="PXW53" i="7" s="1"/>
  <c r="PXX53" i="7" s="1"/>
  <c r="PXY53" i="7" s="1"/>
  <c r="PXZ53" i="7" s="1"/>
  <c r="PYA53" i="7" s="1"/>
  <c r="PYB53" i="7" s="1"/>
  <c r="PYC53" i="7" s="1"/>
  <c r="PYD53" i="7" s="1"/>
  <c r="PYE53" i="7" s="1"/>
  <c r="PYF53" i="7" s="1"/>
  <c r="PYG53" i="7" s="1"/>
  <c r="PYH53" i="7" s="1"/>
  <c r="PYI53" i="7" s="1"/>
  <c r="PYJ53" i="7" s="1"/>
  <c r="PYK53" i="7" s="1"/>
  <c r="PYL53" i="7" s="1"/>
  <c r="PYM53" i="7" s="1"/>
  <c r="PYN53" i="7" s="1"/>
  <c r="PYO53" i="7" s="1"/>
  <c r="PYP53" i="7" s="1"/>
  <c r="PYQ53" i="7" s="1"/>
  <c r="PYR53" i="7" s="1"/>
  <c r="PYS53" i="7" s="1"/>
  <c r="PYT53" i="7" s="1"/>
  <c r="PYU53" i="7" s="1"/>
  <c r="PYV53" i="7" s="1"/>
  <c r="PYW53" i="7" s="1"/>
  <c r="PYX53" i="7" s="1"/>
  <c r="PYY53" i="7" s="1"/>
  <c r="PYZ53" i="7" s="1"/>
  <c r="PZA53" i="7" s="1"/>
  <c r="PZB53" i="7" s="1"/>
  <c r="PZC53" i="7" s="1"/>
  <c r="PZD53" i="7" s="1"/>
  <c r="PZE53" i="7" s="1"/>
  <c r="PZF53" i="7" s="1"/>
  <c r="PZG53" i="7" s="1"/>
  <c r="PZH53" i="7" s="1"/>
  <c r="PZI53" i="7" s="1"/>
  <c r="PZJ53" i="7" s="1"/>
  <c r="PZK53" i="7" s="1"/>
  <c r="PZL53" i="7" s="1"/>
  <c r="PZM53" i="7" s="1"/>
  <c r="PZN53" i="7" s="1"/>
  <c r="PZO53" i="7" s="1"/>
  <c r="PZP53" i="7" s="1"/>
  <c r="PZQ53" i="7" s="1"/>
  <c r="PZR53" i="7" s="1"/>
  <c r="PZS53" i="7" s="1"/>
  <c r="PZT53" i="7" s="1"/>
  <c r="PZU53" i="7" s="1"/>
  <c r="PZV53" i="7" s="1"/>
  <c r="PZW53" i="7" s="1"/>
  <c r="PZX53" i="7" s="1"/>
  <c r="PZY53" i="7" s="1"/>
  <c r="PZZ53" i="7" s="1"/>
  <c r="QAA53" i="7" s="1"/>
  <c r="QAB53" i="7" s="1"/>
  <c r="QAC53" i="7" s="1"/>
  <c r="QAD53" i="7" s="1"/>
  <c r="QAE53" i="7" s="1"/>
  <c r="QAF53" i="7" s="1"/>
  <c r="QAG53" i="7" s="1"/>
  <c r="QAH53" i="7" s="1"/>
  <c r="QAI53" i="7" s="1"/>
  <c r="QAJ53" i="7" s="1"/>
  <c r="QAK53" i="7" s="1"/>
  <c r="QAL53" i="7" s="1"/>
  <c r="QAM53" i="7" s="1"/>
  <c r="QAN53" i="7" s="1"/>
  <c r="QAO53" i="7" s="1"/>
  <c r="QAP53" i="7" s="1"/>
  <c r="QAQ53" i="7" s="1"/>
  <c r="QAR53" i="7" s="1"/>
  <c r="QAS53" i="7" s="1"/>
  <c r="QAT53" i="7" s="1"/>
  <c r="QAU53" i="7" s="1"/>
  <c r="QAV53" i="7" s="1"/>
  <c r="QAW53" i="7" s="1"/>
  <c r="QAX53" i="7" s="1"/>
  <c r="QAY53" i="7" s="1"/>
  <c r="QAZ53" i="7" s="1"/>
  <c r="QBA53" i="7" s="1"/>
  <c r="QBB53" i="7" s="1"/>
  <c r="QBC53" i="7" s="1"/>
  <c r="QBD53" i="7" s="1"/>
  <c r="QBE53" i="7" s="1"/>
  <c r="QBF53" i="7" s="1"/>
  <c r="QBG53" i="7" s="1"/>
  <c r="QBH53" i="7" s="1"/>
  <c r="QBI53" i="7" s="1"/>
  <c r="QBJ53" i="7" s="1"/>
  <c r="QBK53" i="7" s="1"/>
  <c r="QBL53" i="7" s="1"/>
  <c r="QBM53" i="7" s="1"/>
  <c r="QBN53" i="7" s="1"/>
  <c r="QBO53" i="7" s="1"/>
  <c r="QBP53" i="7" s="1"/>
  <c r="QBQ53" i="7" s="1"/>
  <c r="QBR53" i="7" s="1"/>
  <c r="QBS53" i="7" s="1"/>
  <c r="QBT53" i="7" s="1"/>
  <c r="QBU53" i="7" s="1"/>
  <c r="QBV53" i="7" s="1"/>
  <c r="QBW53" i="7" s="1"/>
  <c r="QBX53" i="7" s="1"/>
  <c r="QBY53" i="7" s="1"/>
  <c r="QBZ53" i="7" s="1"/>
  <c r="QCA53" i="7" s="1"/>
  <c r="QCB53" i="7" s="1"/>
  <c r="QCC53" i="7" s="1"/>
  <c r="QCD53" i="7" s="1"/>
  <c r="QCE53" i="7" s="1"/>
  <c r="QCF53" i="7" s="1"/>
  <c r="QCG53" i="7" s="1"/>
  <c r="QCH53" i="7" s="1"/>
  <c r="QCI53" i="7" s="1"/>
  <c r="QCJ53" i="7" s="1"/>
  <c r="QCK53" i="7" s="1"/>
  <c r="QCL53" i="7" s="1"/>
  <c r="QCM53" i="7" s="1"/>
  <c r="QCN53" i="7" s="1"/>
  <c r="QCO53" i="7" s="1"/>
  <c r="QCP53" i="7" s="1"/>
  <c r="QCQ53" i="7" s="1"/>
  <c r="QCR53" i="7" s="1"/>
  <c r="QCS53" i="7" s="1"/>
  <c r="QCT53" i="7" s="1"/>
  <c r="QCU53" i="7" s="1"/>
  <c r="QCV53" i="7" s="1"/>
  <c r="QCW53" i="7" s="1"/>
  <c r="QCX53" i="7" s="1"/>
  <c r="QCY53" i="7" s="1"/>
  <c r="QCZ53" i="7" s="1"/>
  <c r="QDA53" i="7" s="1"/>
  <c r="QDB53" i="7" s="1"/>
  <c r="QDC53" i="7" s="1"/>
  <c r="QDD53" i="7" s="1"/>
  <c r="QDE53" i="7" s="1"/>
  <c r="QDF53" i="7" s="1"/>
  <c r="QDG53" i="7" s="1"/>
  <c r="QDH53" i="7" s="1"/>
  <c r="QDI53" i="7" s="1"/>
  <c r="QDJ53" i="7" s="1"/>
  <c r="QDK53" i="7" s="1"/>
  <c r="QDL53" i="7" s="1"/>
  <c r="QDM53" i="7" s="1"/>
  <c r="QDN53" i="7" s="1"/>
  <c r="QDO53" i="7" s="1"/>
  <c r="QDP53" i="7" s="1"/>
  <c r="QDQ53" i="7" s="1"/>
  <c r="QDR53" i="7" s="1"/>
  <c r="QDS53" i="7" s="1"/>
  <c r="QDT53" i="7" s="1"/>
  <c r="QDU53" i="7" s="1"/>
  <c r="QDV53" i="7" s="1"/>
  <c r="QDW53" i="7" s="1"/>
  <c r="QDX53" i="7" s="1"/>
  <c r="QDY53" i="7" s="1"/>
  <c r="QDZ53" i="7" s="1"/>
  <c r="QEA53" i="7" s="1"/>
  <c r="QEB53" i="7" s="1"/>
  <c r="QEC53" i="7" s="1"/>
  <c r="QED53" i="7" s="1"/>
  <c r="QEE53" i="7" s="1"/>
  <c r="QEF53" i="7" s="1"/>
  <c r="QEG53" i="7" s="1"/>
  <c r="QEH53" i="7" s="1"/>
  <c r="QEI53" i="7" s="1"/>
  <c r="QEJ53" i="7" s="1"/>
  <c r="QEK53" i="7" s="1"/>
  <c r="QEL53" i="7" s="1"/>
  <c r="QEM53" i="7" s="1"/>
  <c r="QEN53" i="7" s="1"/>
  <c r="QEO53" i="7" s="1"/>
  <c r="QEP53" i="7" s="1"/>
  <c r="QEQ53" i="7" s="1"/>
  <c r="QER53" i="7" s="1"/>
  <c r="QES53" i="7" s="1"/>
  <c r="QET53" i="7" s="1"/>
  <c r="QEU53" i="7" s="1"/>
  <c r="QEV53" i="7" s="1"/>
  <c r="QEW53" i="7" s="1"/>
  <c r="QEX53" i="7" s="1"/>
  <c r="QEY53" i="7" s="1"/>
  <c r="QEZ53" i="7" s="1"/>
  <c r="QFA53" i="7" s="1"/>
  <c r="QFB53" i="7" s="1"/>
  <c r="QFC53" i="7" s="1"/>
  <c r="QFD53" i="7" s="1"/>
  <c r="QFE53" i="7" s="1"/>
  <c r="QFF53" i="7" s="1"/>
  <c r="QFG53" i="7" s="1"/>
  <c r="QFH53" i="7" s="1"/>
  <c r="QFI53" i="7" s="1"/>
  <c r="QFJ53" i="7" s="1"/>
  <c r="QFK53" i="7" s="1"/>
  <c r="QFL53" i="7" s="1"/>
  <c r="QFM53" i="7" s="1"/>
  <c r="QFN53" i="7" s="1"/>
  <c r="QFO53" i="7" s="1"/>
  <c r="QFP53" i="7" s="1"/>
  <c r="QFQ53" i="7" s="1"/>
  <c r="QFR53" i="7" s="1"/>
  <c r="QFS53" i="7" s="1"/>
  <c r="QFT53" i="7" s="1"/>
  <c r="QFU53" i="7" s="1"/>
  <c r="QFV53" i="7" s="1"/>
  <c r="QFW53" i="7" s="1"/>
  <c r="QFX53" i="7" s="1"/>
  <c r="QFY53" i="7" s="1"/>
  <c r="QFZ53" i="7" s="1"/>
  <c r="QGA53" i="7" s="1"/>
  <c r="QGB53" i="7" s="1"/>
  <c r="QGC53" i="7" s="1"/>
  <c r="QGD53" i="7" s="1"/>
  <c r="QGE53" i="7" s="1"/>
  <c r="QGF53" i="7" s="1"/>
  <c r="QGG53" i="7" s="1"/>
  <c r="QGH53" i="7" s="1"/>
  <c r="QGI53" i="7" s="1"/>
  <c r="QGJ53" i="7" s="1"/>
  <c r="QGK53" i="7" s="1"/>
  <c r="QGL53" i="7" s="1"/>
  <c r="QGM53" i="7" s="1"/>
  <c r="QGN53" i="7" s="1"/>
  <c r="QGO53" i="7" s="1"/>
  <c r="QGP53" i="7" s="1"/>
  <c r="QGQ53" i="7" s="1"/>
  <c r="QGR53" i="7" s="1"/>
  <c r="QGS53" i="7" s="1"/>
  <c r="QGT53" i="7" s="1"/>
  <c r="QGU53" i="7" s="1"/>
  <c r="QGV53" i="7" s="1"/>
  <c r="QGW53" i="7" s="1"/>
  <c r="QGX53" i="7" s="1"/>
  <c r="QGY53" i="7" s="1"/>
  <c r="QGZ53" i="7" s="1"/>
  <c r="QHA53" i="7" s="1"/>
  <c r="QHB53" i="7" s="1"/>
  <c r="QHC53" i="7" s="1"/>
  <c r="QHD53" i="7" s="1"/>
  <c r="QHE53" i="7" s="1"/>
  <c r="QHF53" i="7" s="1"/>
  <c r="QHG53" i="7" s="1"/>
  <c r="QHH53" i="7" s="1"/>
  <c r="QHI53" i="7" s="1"/>
  <c r="QHJ53" i="7" s="1"/>
  <c r="QHK53" i="7" s="1"/>
  <c r="QHL53" i="7" s="1"/>
  <c r="QHM53" i="7" s="1"/>
  <c r="QHN53" i="7" s="1"/>
  <c r="QHO53" i="7" s="1"/>
  <c r="QHP53" i="7" s="1"/>
  <c r="QHQ53" i="7" s="1"/>
  <c r="QHR53" i="7" s="1"/>
  <c r="QHS53" i="7" s="1"/>
  <c r="QHT53" i="7" s="1"/>
  <c r="QHU53" i="7" s="1"/>
  <c r="QHV53" i="7" s="1"/>
  <c r="QHW53" i="7" s="1"/>
  <c r="QHX53" i="7" s="1"/>
  <c r="QHY53" i="7" s="1"/>
  <c r="QHZ53" i="7" s="1"/>
  <c r="QIA53" i="7" s="1"/>
  <c r="QIB53" i="7" s="1"/>
  <c r="QIC53" i="7" s="1"/>
  <c r="QID53" i="7" s="1"/>
  <c r="QIE53" i="7" s="1"/>
  <c r="QIF53" i="7" s="1"/>
  <c r="QIG53" i="7" s="1"/>
  <c r="QIH53" i="7" s="1"/>
  <c r="QII53" i="7" s="1"/>
  <c r="QIJ53" i="7" s="1"/>
  <c r="QIK53" i="7" s="1"/>
  <c r="QIL53" i="7" s="1"/>
  <c r="QIM53" i="7" s="1"/>
  <c r="QIN53" i="7" s="1"/>
  <c r="QIO53" i="7" s="1"/>
  <c r="QIP53" i="7" s="1"/>
  <c r="QIQ53" i="7" s="1"/>
  <c r="QIR53" i="7" s="1"/>
  <c r="QIS53" i="7" s="1"/>
  <c r="QIT53" i="7" s="1"/>
  <c r="QIU53" i="7" s="1"/>
  <c r="QIV53" i="7" s="1"/>
  <c r="QIW53" i="7" s="1"/>
  <c r="QIX53" i="7" s="1"/>
  <c r="QIY53" i="7" s="1"/>
  <c r="QIZ53" i="7" s="1"/>
  <c r="QJA53" i="7" s="1"/>
  <c r="QJB53" i="7" s="1"/>
  <c r="QJC53" i="7" s="1"/>
  <c r="QJD53" i="7" s="1"/>
  <c r="QJE53" i="7" s="1"/>
  <c r="QJF53" i="7" s="1"/>
  <c r="QJG53" i="7" s="1"/>
  <c r="QJH53" i="7" s="1"/>
  <c r="QJI53" i="7" s="1"/>
  <c r="QJJ53" i="7" s="1"/>
  <c r="QJK53" i="7" s="1"/>
  <c r="QJL53" i="7" s="1"/>
  <c r="QJM53" i="7" s="1"/>
  <c r="QJN53" i="7" s="1"/>
  <c r="QJO53" i="7" s="1"/>
  <c r="QJP53" i="7" s="1"/>
  <c r="QJQ53" i="7" s="1"/>
  <c r="QJR53" i="7" s="1"/>
  <c r="QJS53" i="7" s="1"/>
  <c r="QJT53" i="7" s="1"/>
  <c r="QJU53" i="7" s="1"/>
  <c r="QJV53" i="7" s="1"/>
  <c r="QJW53" i="7" s="1"/>
  <c r="QJX53" i="7" s="1"/>
  <c r="QJY53" i="7" s="1"/>
  <c r="QJZ53" i="7" s="1"/>
  <c r="QKA53" i="7" s="1"/>
  <c r="QKB53" i="7" s="1"/>
  <c r="QKC53" i="7" s="1"/>
  <c r="QKD53" i="7" s="1"/>
  <c r="QKE53" i="7" s="1"/>
  <c r="QKF53" i="7" s="1"/>
  <c r="QKG53" i="7" s="1"/>
  <c r="QKH53" i="7" s="1"/>
  <c r="QKI53" i="7" s="1"/>
  <c r="QKJ53" i="7" s="1"/>
  <c r="QKK53" i="7" s="1"/>
  <c r="QKL53" i="7" s="1"/>
  <c r="QKM53" i="7" s="1"/>
  <c r="QKN53" i="7" s="1"/>
  <c r="QKO53" i="7" s="1"/>
  <c r="QKP53" i="7" s="1"/>
  <c r="QKQ53" i="7" s="1"/>
  <c r="QKR53" i="7" s="1"/>
  <c r="QKS53" i="7" s="1"/>
  <c r="QKT53" i="7" s="1"/>
  <c r="QKU53" i="7" s="1"/>
  <c r="QKV53" i="7" s="1"/>
  <c r="QKW53" i="7" s="1"/>
  <c r="QKX53" i="7" s="1"/>
  <c r="QKY53" i="7" s="1"/>
  <c r="QKZ53" i="7" s="1"/>
  <c r="QLA53" i="7" s="1"/>
  <c r="QLB53" i="7" s="1"/>
  <c r="QLC53" i="7" s="1"/>
  <c r="QLD53" i="7" s="1"/>
  <c r="QLE53" i="7" s="1"/>
  <c r="QLF53" i="7" s="1"/>
  <c r="QLG53" i="7" s="1"/>
  <c r="QLH53" i="7" s="1"/>
  <c r="QLI53" i="7" s="1"/>
  <c r="QLJ53" i="7" s="1"/>
  <c r="QLK53" i="7" s="1"/>
  <c r="QLL53" i="7" s="1"/>
  <c r="QLM53" i="7" s="1"/>
  <c r="QLN53" i="7" s="1"/>
  <c r="QLO53" i="7" s="1"/>
  <c r="QLP53" i="7" s="1"/>
  <c r="QLQ53" i="7" s="1"/>
  <c r="QLR53" i="7" s="1"/>
  <c r="QLS53" i="7" s="1"/>
  <c r="QLT53" i="7" s="1"/>
  <c r="QLU53" i="7" s="1"/>
  <c r="QLV53" i="7" s="1"/>
  <c r="QLW53" i="7" s="1"/>
  <c r="QLX53" i="7" s="1"/>
  <c r="QLY53" i="7" s="1"/>
  <c r="QLZ53" i="7" s="1"/>
  <c r="QMA53" i="7" s="1"/>
  <c r="QMB53" i="7" s="1"/>
  <c r="QMC53" i="7" s="1"/>
  <c r="QMD53" i="7" s="1"/>
  <c r="QME53" i="7" s="1"/>
  <c r="QMF53" i="7" s="1"/>
  <c r="QMG53" i="7" s="1"/>
  <c r="QMH53" i="7" s="1"/>
  <c r="QMI53" i="7" s="1"/>
  <c r="QMJ53" i="7" s="1"/>
  <c r="QMK53" i="7" s="1"/>
  <c r="QML53" i="7" s="1"/>
  <c r="QMM53" i="7" s="1"/>
  <c r="QMN53" i="7" s="1"/>
  <c r="QMO53" i="7" s="1"/>
  <c r="QMP53" i="7" s="1"/>
  <c r="QMQ53" i="7" s="1"/>
  <c r="QMR53" i="7" s="1"/>
  <c r="QMS53" i="7" s="1"/>
  <c r="QMT53" i="7" s="1"/>
  <c r="QMU53" i="7" s="1"/>
  <c r="QMV53" i="7" s="1"/>
  <c r="QMW53" i="7" s="1"/>
  <c r="QMX53" i="7" s="1"/>
  <c r="QMY53" i="7" s="1"/>
  <c r="QMZ53" i="7" s="1"/>
  <c r="QNA53" i="7" s="1"/>
  <c r="QNB53" i="7" s="1"/>
  <c r="QNC53" i="7" s="1"/>
  <c r="QND53" i="7" s="1"/>
  <c r="QNE53" i="7" s="1"/>
  <c r="QNF53" i="7" s="1"/>
  <c r="QNG53" i="7" s="1"/>
  <c r="QNH53" i="7" s="1"/>
  <c r="QNI53" i="7" s="1"/>
  <c r="QNJ53" i="7" s="1"/>
  <c r="QNK53" i="7" s="1"/>
  <c r="QNL53" i="7" s="1"/>
  <c r="QNM53" i="7" s="1"/>
  <c r="QNN53" i="7" s="1"/>
  <c r="QNO53" i="7" s="1"/>
  <c r="QNP53" i="7" s="1"/>
  <c r="QNQ53" i="7" s="1"/>
  <c r="QNR53" i="7" s="1"/>
  <c r="QNS53" i="7" s="1"/>
  <c r="QNT53" i="7" s="1"/>
  <c r="QNU53" i="7" s="1"/>
  <c r="QNV53" i="7" s="1"/>
  <c r="QNW53" i="7" s="1"/>
  <c r="QNX53" i="7" s="1"/>
  <c r="QNY53" i="7" s="1"/>
  <c r="QNZ53" i="7" s="1"/>
  <c r="QOA53" i="7" s="1"/>
  <c r="QOB53" i="7" s="1"/>
  <c r="QOC53" i="7" s="1"/>
  <c r="QOD53" i="7" s="1"/>
  <c r="QOE53" i="7" s="1"/>
  <c r="QOF53" i="7" s="1"/>
  <c r="QOG53" i="7" s="1"/>
  <c r="QOH53" i="7" s="1"/>
  <c r="QOI53" i="7" s="1"/>
  <c r="QOJ53" i="7" s="1"/>
  <c r="QOK53" i="7" s="1"/>
  <c r="QOL53" i="7" s="1"/>
  <c r="QOM53" i="7" s="1"/>
  <c r="QON53" i="7" s="1"/>
  <c r="QOO53" i="7" s="1"/>
  <c r="QOP53" i="7" s="1"/>
  <c r="QOQ53" i="7" s="1"/>
  <c r="QOR53" i="7" s="1"/>
  <c r="QOS53" i="7" s="1"/>
  <c r="QOT53" i="7" s="1"/>
  <c r="QOU53" i="7" s="1"/>
  <c r="QOV53" i="7" s="1"/>
  <c r="QOW53" i="7" s="1"/>
  <c r="QOX53" i="7" s="1"/>
  <c r="QOY53" i="7" s="1"/>
  <c r="QOZ53" i="7" s="1"/>
  <c r="QPA53" i="7" s="1"/>
  <c r="QPB53" i="7" s="1"/>
  <c r="QPC53" i="7" s="1"/>
  <c r="QPD53" i="7" s="1"/>
  <c r="QPE53" i="7" s="1"/>
  <c r="QPF53" i="7" s="1"/>
  <c r="QPG53" i="7" s="1"/>
  <c r="QPH53" i="7" s="1"/>
  <c r="QPI53" i="7" s="1"/>
  <c r="QPJ53" i="7" s="1"/>
  <c r="QPK53" i="7" s="1"/>
  <c r="QPL53" i="7" s="1"/>
  <c r="QPM53" i="7" s="1"/>
  <c r="QPN53" i="7" s="1"/>
  <c r="QPO53" i="7" s="1"/>
  <c r="QPP53" i="7" s="1"/>
  <c r="QPQ53" i="7" s="1"/>
  <c r="QPR53" i="7" s="1"/>
  <c r="QPS53" i="7" s="1"/>
  <c r="QPT53" i="7" s="1"/>
  <c r="QPU53" i="7" s="1"/>
  <c r="QPV53" i="7" s="1"/>
  <c r="QPW53" i="7" s="1"/>
  <c r="QPX53" i="7" s="1"/>
  <c r="QPY53" i="7" s="1"/>
  <c r="QPZ53" i="7" s="1"/>
  <c r="QQA53" i="7" s="1"/>
  <c r="QQB53" i="7" s="1"/>
  <c r="QQC53" i="7" s="1"/>
  <c r="QQD53" i="7" s="1"/>
  <c r="QQE53" i="7" s="1"/>
  <c r="QQF53" i="7" s="1"/>
  <c r="QQG53" i="7" s="1"/>
  <c r="QQH53" i="7" s="1"/>
  <c r="QQI53" i="7" s="1"/>
  <c r="QQJ53" i="7" s="1"/>
  <c r="QQK53" i="7" s="1"/>
  <c r="QQL53" i="7" s="1"/>
  <c r="QQM53" i="7" s="1"/>
  <c r="QQN53" i="7" s="1"/>
  <c r="QQO53" i="7" s="1"/>
  <c r="QQP53" i="7" s="1"/>
  <c r="QQQ53" i="7" s="1"/>
  <c r="QQR53" i="7" s="1"/>
  <c r="QQS53" i="7" s="1"/>
  <c r="QQT53" i="7" s="1"/>
  <c r="QQU53" i="7" s="1"/>
  <c r="QQV53" i="7" s="1"/>
  <c r="QQW53" i="7" s="1"/>
  <c r="QQX53" i="7" s="1"/>
  <c r="QQY53" i="7" s="1"/>
  <c r="QQZ53" i="7" s="1"/>
  <c r="QRA53" i="7" s="1"/>
  <c r="QRB53" i="7" s="1"/>
  <c r="QRC53" i="7" s="1"/>
  <c r="QRD53" i="7" s="1"/>
  <c r="QRE53" i="7" s="1"/>
  <c r="QRF53" i="7" s="1"/>
  <c r="QRG53" i="7" s="1"/>
  <c r="QRH53" i="7" s="1"/>
  <c r="QRI53" i="7" s="1"/>
  <c r="QRJ53" i="7" s="1"/>
  <c r="QRK53" i="7" s="1"/>
  <c r="QRL53" i="7" s="1"/>
  <c r="QRM53" i="7" s="1"/>
  <c r="QRN53" i="7" s="1"/>
  <c r="QRO53" i="7" s="1"/>
  <c r="QRP53" i="7" s="1"/>
  <c r="QRQ53" i="7" s="1"/>
  <c r="QRR53" i="7" s="1"/>
  <c r="QRS53" i="7" s="1"/>
  <c r="QRT53" i="7" s="1"/>
  <c r="QRU53" i="7" s="1"/>
  <c r="QRV53" i="7" s="1"/>
  <c r="QRW53" i="7" s="1"/>
  <c r="QRX53" i="7" s="1"/>
  <c r="QRY53" i="7" s="1"/>
  <c r="QRZ53" i="7" s="1"/>
  <c r="QSA53" i="7" s="1"/>
  <c r="QSB53" i="7" s="1"/>
  <c r="QSC53" i="7" s="1"/>
  <c r="QSD53" i="7" s="1"/>
  <c r="QSE53" i="7" s="1"/>
  <c r="QSF53" i="7" s="1"/>
  <c r="QSG53" i="7" s="1"/>
  <c r="QSH53" i="7" s="1"/>
  <c r="QSI53" i="7" s="1"/>
  <c r="QSJ53" i="7" s="1"/>
  <c r="QSK53" i="7" s="1"/>
  <c r="QSL53" i="7" s="1"/>
  <c r="QSM53" i="7" s="1"/>
  <c r="QSN53" i="7" s="1"/>
  <c r="QSO53" i="7" s="1"/>
  <c r="QSP53" i="7" s="1"/>
  <c r="QSQ53" i="7" s="1"/>
  <c r="QSR53" i="7" s="1"/>
  <c r="QSS53" i="7" s="1"/>
  <c r="QST53" i="7" s="1"/>
  <c r="QSU53" i="7" s="1"/>
  <c r="QSV53" i="7" s="1"/>
  <c r="QSW53" i="7" s="1"/>
  <c r="QSX53" i="7" s="1"/>
  <c r="QSY53" i="7" s="1"/>
  <c r="QSZ53" i="7" s="1"/>
  <c r="QTA53" i="7" s="1"/>
  <c r="QTB53" i="7" s="1"/>
  <c r="QTC53" i="7" s="1"/>
  <c r="QTD53" i="7" s="1"/>
  <c r="QTE53" i="7" s="1"/>
  <c r="QTF53" i="7" s="1"/>
  <c r="QTG53" i="7" s="1"/>
  <c r="QTH53" i="7" s="1"/>
  <c r="QTI53" i="7" s="1"/>
  <c r="QTJ53" i="7" s="1"/>
  <c r="QTK53" i="7" s="1"/>
  <c r="QTL53" i="7" s="1"/>
  <c r="QTM53" i="7" s="1"/>
  <c r="QTN53" i="7" s="1"/>
  <c r="QTO53" i="7" s="1"/>
  <c r="QTP53" i="7" s="1"/>
  <c r="QTQ53" i="7" s="1"/>
  <c r="QTR53" i="7" s="1"/>
  <c r="QTS53" i="7" s="1"/>
  <c r="QTT53" i="7" s="1"/>
  <c r="QTU53" i="7" s="1"/>
  <c r="QTV53" i="7" s="1"/>
  <c r="QTW53" i="7" s="1"/>
  <c r="QTX53" i="7" s="1"/>
  <c r="QTY53" i="7" s="1"/>
  <c r="QTZ53" i="7" s="1"/>
  <c r="QUA53" i="7" s="1"/>
  <c r="QUB53" i="7" s="1"/>
  <c r="QUC53" i="7" s="1"/>
  <c r="QUD53" i="7" s="1"/>
  <c r="QUE53" i="7" s="1"/>
  <c r="QUF53" i="7" s="1"/>
  <c r="QUG53" i="7" s="1"/>
  <c r="QUH53" i="7" s="1"/>
  <c r="QUI53" i="7" s="1"/>
  <c r="QUJ53" i="7" s="1"/>
  <c r="QUK53" i="7" s="1"/>
  <c r="QUL53" i="7" s="1"/>
  <c r="QUM53" i="7" s="1"/>
  <c r="QUN53" i="7" s="1"/>
  <c r="QUO53" i="7" s="1"/>
  <c r="QUP53" i="7" s="1"/>
  <c r="QUQ53" i="7" s="1"/>
  <c r="QUR53" i="7" s="1"/>
  <c r="QUS53" i="7" s="1"/>
  <c r="QUT53" i="7" s="1"/>
  <c r="QUU53" i="7" s="1"/>
  <c r="QUV53" i="7" s="1"/>
  <c r="QUW53" i="7" s="1"/>
  <c r="QUX53" i="7" s="1"/>
  <c r="QUY53" i="7" s="1"/>
  <c r="QUZ53" i="7" s="1"/>
  <c r="QVA53" i="7" s="1"/>
  <c r="QVB53" i="7" s="1"/>
  <c r="QVC53" i="7" s="1"/>
  <c r="QVD53" i="7" s="1"/>
  <c r="QVE53" i="7" s="1"/>
  <c r="QVF53" i="7" s="1"/>
  <c r="QVG53" i="7" s="1"/>
  <c r="QVH53" i="7" s="1"/>
  <c r="QVI53" i="7" s="1"/>
  <c r="QVJ53" i="7" s="1"/>
  <c r="QVK53" i="7" s="1"/>
  <c r="QVL53" i="7" s="1"/>
  <c r="QVM53" i="7" s="1"/>
  <c r="QVN53" i="7" s="1"/>
  <c r="QVO53" i="7" s="1"/>
  <c r="QVP53" i="7" s="1"/>
  <c r="QVQ53" i="7" s="1"/>
  <c r="QVR53" i="7" s="1"/>
  <c r="QVS53" i="7" s="1"/>
  <c r="QVT53" i="7" s="1"/>
  <c r="QVU53" i="7" s="1"/>
  <c r="QVV53" i="7" s="1"/>
  <c r="QVW53" i="7" s="1"/>
  <c r="QVX53" i="7" s="1"/>
  <c r="QVY53" i="7" s="1"/>
  <c r="QVZ53" i="7" s="1"/>
  <c r="QWA53" i="7" s="1"/>
  <c r="QWB53" i="7" s="1"/>
  <c r="QWC53" i="7" s="1"/>
  <c r="QWD53" i="7" s="1"/>
  <c r="QWE53" i="7" s="1"/>
  <c r="QWF53" i="7" s="1"/>
  <c r="QWG53" i="7" s="1"/>
  <c r="QWH53" i="7" s="1"/>
  <c r="QWI53" i="7" s="1"/>
  <c r="QWJ53" i="7" s="1"/>
  <c r="QWK53" i="7" s="1"/>
  <c r="QWL53" i="7" s="1"/>
  <c r="QWM53" i="7" s="1"/>
  <c r="QWN53" i="7" s="1"/>
  <c r="QWO53" i="7" s="1"/>
  <c r="QWP53" i="7" s="1"/>
  <c r="QWQ53" i="7" s="1"/>
  <c r="QWR53" i="7" s="1"/>
  <c r="QWS53" i="7" s="1"/>
  <c r="QWT53" i="7" s="1"/>
  <c r="QWU53" i="7" s="1"/>
  <c r="QWV53" i="7" s="1"/>
  <c r="QWW53" i="7" s="1"/>
  <c r="QWX53" i="7" s="1"/>
  <c r="QWY53" i="7" s="1"/>
  <c r="QWZ53" i="7" s="1"/>
  <c r="QXA53" i="7" s="1"/>
  <c r="QXB53" i="7" s="1"/>
  <c r="QXC53" i="7" s="1"/>
  <c r="QXD53" i="7" s="1"/>
  <c r="QXE53" i="7" s="1"/>
  <c r="QXF53" i="7" s="1"/>
  <c r="QXG53" i="7" s="1"/>
  <c r="QXH53" i="7" s="1"/>
  <c r="QXI53" i="7" s="1"/>
  <c r="QXJ53" i="7" s="1"/>
  <c r="QXK53" i="7" s="1"/>
  <c r="QXL53" i="7" s="1"/>
  <c r="QXM53" i="7" s="1"/>
  <c r="QXN53" i="7" s="1"/>
  <c r="QXO53" i="7" s="1"/>
  <c r="QXP53" i="7" s="1"/>
  <c r="QXQ53" i="7" s="1"/>
  <c r="QXR53" i="7" s="1"/>
  <c r="QXS53" i="7" s="1"/>
  <c r="QXT53" i="7" s="1"/>
  <c r="QXU53" i="7" s="1"/>
  <c r="QXV53" i="7" s="1"/>
  <c r="QXW53" i="7" s="1"/>
  <c r="QXX53" i="7" s="1"/>
  <c r="QXY53" i="7" s="1"/>
  <c r="QXZ53" i="7" s="1"/>
  <c r="QYA53" i="7" s="1"/>
  <c r="QYB53" i="7" s="1"/>
  <c r="QYC53" i="7" s="1"/>
  <c r="QYD53" i="7" s="1"/>
  <c r="QYE53" i="7" s="1"/>
  <c r="QYF53" i="7" s="1"/>
  <c r="QYG53" i="7" s="1"/>
  <c r="QYH53" i="7" s="1"/>
  <c r="QYI53" i="7" s="1"/>
  <c r="QYJ53" i="7" s="1"/>
  <c r="QYK53" i="7" s="1"/>
  <c r="QYL53" i="7" s="1"/>
  <c r="QYM53" i="7" s="1"/>
  <c r="QYN53" i="7" s="1"/>
  <c r="QYO53" i="7" s="1"/>
  <c r="QYP53" i="7" s="1"/>
  <c r="QYQ53" i="7" s="1"/>
  <c r="QYR53" i="7" s="1"/>
  <c r="QYS53" i="7" s="1"/>
  <c r="QYT53" i="7" s="1"/>
  <c r="QYU53" i="7" s="1"/>
  <c r="QYV53" i="7" s="1"/>
  <c r="QYW53" i="7" s="1"/>
  <c r="QYX53" i="7" s="1"/>
  <c r="QYY53" i="7" s="1"/>
  <c r="QYZ53" i="7" s="1"/>
  <c r="QZA53" i="7" s="1"/>
  <c r="QZB53" i="7" s="1"/>
  <c r="QZC53" i="7" s="1"/>
  <c r="QZD53" i="7" s="1"/>
  <c r="QZE53" i="7" s="1"/>
  <c r="QZF53" i="7" s="1"/>
  <c r="QZG53" i="7" s="1"/>
  <c r="QZH53" i="7" s="1"/>
  <c r="QZI53" i="7" s="1"/>
  <c r="QZJ53" i="7" s="1"/>
  <c r="QZK53" i="7" s="1"/>
  <c r="QZL53" i="7" s="1"/>
  <c r="QZM53" i="7" s="1"/>
  <c r="QZN53" i="7" s="1"/>
  <c r="QZO53" i="7" s="1"/>
  <c r="QZP53" i="7" s="1"/>
  <c r="QZQ53" i="7" s="1"/>
  <c r="QZR53" i="7" s="1"/>
  <c r="QZS53" i="7" s="1"/>
  <c r="QZT53" i="7" s="1"/>
  <c r="QZU53" i="7" s="1"/>
  <c r="QZV53" i="7" s="1"/>
  <c r="QZW53" i="7" s="1"/>
  <c r="QZX53" i="7" s="1"/>
  <c r="QZY53" i="7" s="1"/>
  <c r="QZZ53" i="7" s="1"/>
  <c r="RAA53" i="7" s="1"/>
  <c r="RAB53" i="7" s="1"/>
  <c r="RAC53" i="7" s="1"/>
  <c r="RAD53" i="7" s="1"/>
  <c r="RAE53" i="7" s="1"/>
  <c r="RAF53" i="7" s="1"/>
  <c r="RAG53" i="7" s="1"/>
  <c r="RAH53" i="7" s="1"/>
  <c r="RAI53" i="7" s="1"/>
  <c r="RAJ53" i="7" s="1"/>
  <c r="RAK53" i="7" s="1"/>
  <c r="RAL53" i="7" s="1"/>
  <c r="RAM53" i="7" s="1"/>
  <c r="RAN53" i="7" s="1"/>
  <c r="RAO53" i="7" s="1"/>
  <c r="RAP53" i="7" s="1"/>
  <c r="RAQ53" i="7" s="1"/>
  <c r="RAR53" i="7" s="1"/>
  <c r="RAS53" i="7" s="1"/>
  <c r="RAT53" i="7" s="1"/>
  <c r="RAU53" i="7" s="1"/>
  <c r="RAV53" i="7" s="1"/>
  <c r="RAW53" i="7" s="1"/>
  <c r="RAX53" i="7" s="1"/>
  <c r="RAY53" i="7" s="1"/>
  <c r="RAZ53" i="7" s="1"/>
  <c r="RBA53" i="7" s="1"/>
  <c r="RBB53" i="7" s="1"/>
  <c r="RBC53" i="7" s="1"/>
  <c r="RBD53" i="7" s="1"/>
  <c r="RBE53" i="7" s="1"/>
  <c r="RBF53" i="7" s="1"/>
  <c r="RBG53" i="7" s="1"/>
  <c r="RBH53" i="7" s="1"/>
  <c r="RBI53" i="7" s="1"/>
  <c r="RBJ53" i="7" s="1"/>
  <c r="RBK53" i="7" s="1"/>
  <c r="RBL53" i="7" s="1"/>
  <c r="RBM53" i="7" s="1"/>
  <c r="RBN53" i="7" s="1"/>
  <c r="RBO53" i="7" s="1"/>
  <c r="RBP53" i="7" s="1"/>
  <c r="RBQ53" i="7" s="1"/>
  <c r="RBR53" i="7" s="1"/>
  <c r="RBS53" i="7" s="1"/>
  <c r="RBT53" i="7" s="1"/>
  <c r="RBU53" i="7" s="1"/>
  <c r="RBV53" i="7" s="1"/>
  <c r="RBW53" i="7" s="1"/>
  <c r="RBX53" i="7" s="1"/>
  <c r="RBY53" i="7" s="1"/>
  <c r="RBZ53" i="7" s="1"/>
  <c r="RCA53" i="7" s="1"/>
  <c r="RCB53" i="7" s="1"/>
  <c r="RCC53" i="7" s="1"/>
  <c r="RCD53" i="7" s="1"/>
  <c r="RCE53" i="7" s="1"/>
  <c r="RCF53" i="7" s="1"/>
  <c r="RCG53" i="7" s="1"/>
  <c r="RCH53" i="7" s="1"/>
  <c r="RCI53" i="7" s="1"/>
  <c r="RCJ53" i="7" s="1"/>
  <c r="RCK53" i="7" s="1"/>
  <c r="RCL53" i="7" s="1"/>
  <c r="RCM53" i="7" s="1"/>
  <c r="RCN53" i="7" s="1"/>
  <c r="RCO53" i="7" s="1"/>
  <c r="RCP53" i="7" s="1"/>
  <c r="RCQ53" i="7" s="1"/>
  <c r="RCR53" i="7" s="1"/>
  <c r="RCS53" i="7" s="1"/>
  <c r="RCT53" i="7" s="1"/>
  <c r="RCU53" i="7" s="1"/>
  <c r="RCV53" i="7" s="1"/>
  <c r="RCW53" i="7" s="1"/>
  <c r="RCX53" i="7" s="1"/>
  <c r="RCY53" i="7" s="1"/>
  <c r="RCZ53" i="7" s="1"/>
  <c r="RDA53" i="7" s="1"/>
  <c r="RDB53" i="7" s="1"/>
  <c r="RDC53" i="7" s="1"/>
  <c r="RDD53" i="7" s="1"/>
  <c r="RDE53" i="7" s="1"/>
  <c r="RDF53" i="7" s="1"/>
  <c r="RDG53" i="7" s="1"/>
  <c r="RDH53" i="7" s="1"/>
  <c r="RDI53" i="7" s="1"/>
  <c r="RDJ53" i="7" s="1"/>
  <c r="RDK53" i="7" s="1"/>
  <c r="RDL53" i="7" s="1"/>
  <c r="RDM53" i="7" s="1"/>
  <c r="RDN53" i="7" s="1"/>
  <c r="RDO53" i="7" s="1"/>
  <c r="RDP53" i="7" s="1"/>
  <c r="RDQ53" i="7" s="1"/>
  <c r="RDR53" i="7" s="1"/>
  <c r="RDS53" i="7" s="1"/>
  <c r="RDT53" i="7" s="1"/>
  <c r="RDU53" i="7" s="1"/>
  <c r="RDV53" i="7" s="1"/>
  <c r="RDW53" i="7" s="1"/>
  <c r="RDX53" i="7" s="1"/>
  <c r="RDY53" i="7" s="1"/>
  <c r="RDZ53" i="7" s="1"/>
  <c r="REA53" i="7" s="1"/>
  <c r="REB53" i="7" s="1"/>
  <c r="REC53" i="7" s="1"/>
  <c r="RED53" i="7" s="1"/>
  <c r="REE53" i="7" s="1"/>
  <c r="REF53" i="7" s="1"/>
  <c r="REG53" i="7" s="1"/>
  <c r="REH53" i="7" s="1"/>
  <c r="REI53" i="7" s="1"/>
  <c r="REJ53" i="7" s="1"/>
  <c r="REK53" i="7" s="1"/>
  <c r="REL53" i="7" s="1"/>
  <c r="REM53" i="7" s="1"/>
  <c r="REN53" i="7" s="1"/>
  <c r="REO53" i="7" s="1"/>
  <c r="REP53" i="7" s="1"/>
  <c r="REQ53" i="7" s="1"/>
  <c r="RER53" i="7" s="1"/>
  <c r="RES53" i="7" s="1"/>
  <c r="RET53" i="7" s="1"/>
  <c r="REU53" i="7" s="1"/>
  <c r="REV53" i="7" s="1"/>
  <c r="REW53" i="7" s="1"/>
  <c r="REX53" i="7" s="1"/>
  <c r="REY53" i="7" s="1"/>
  <c r="REZ53" i="7" s="1"/>
  <c r="RFA53" i="7" s="1"/>
  <c r="RFB53" i="7" s="1"/>
  <c r="RFC53" i="7" s="1"/>
  <c r="RFD53" i="7" s="1"/>
  <c r="RFE53" i="7" s="1"/>
  <c r="RFF53" i="7" s="1"/>
  <c r="RFG53" i="7" s="1"/>
  <c r="RFH53" i="7" s="1"/>
  <c r="RFI53" i="7" s="1"/>
  <c r="RFJ53" i="7" s="1"/>
  <c r="RFK53" i="7" s="1"/>
  <c r="RFL53" i="7" s="1"/>
  <c r="RFM53" i="7" s="1"/>
  <c r="RFN53" i="7" s="1"/>
  <c r="RFO53" i="7" s="1"/>
  <c r="RFP53" i="7" s="1"/>
  <c r="RFQ53" i="7" s="1"/>
  <c r="RFR53" i="7" s="1"/>
  <c r="RFS53" i="7" s="1"/>
  <c r="RFT53" i="7" s="1"/>
  <c r="RFU53" i="7" s="1"/>
  <c r="RFV53" i="7" s="1"/>
  <c r="RFW53" i="7" s="1"/>
  <c r="RFX53" i="7" s="1"/>
  <c r="RFY53" i="7" s="1"/>
  <c r="RFZ53" i="7" s="1"/>
  <c r="RGA53" i="7" s="1"/>
  <c r="RGB53" i="7" s="1"/>
  <c r="RGC53" i="7" s="1"/>
  <c r="RGD53" i="7" s="1"/>
  <c r="RGE53" i="7" s="1"/>
  <c r="RGF53" i="7" s="1"/>
  <c r="RGG53" i="7" s="1"/>
  <c r="RGH53" i="7" s="1"/>
  <c r="RGI53" i="7" s="1"/>
  <c r="RGJ53" i="7" s="1"/>
  <c r="RGK53" i="7" s="1"/>
  <c r="RGL53" i="7" s="1"/>
  <c r="RGM53" i="7" s="1"/>
  <c r="RGN53" i="7" s="1"/>
  <c r="RGO53" i="7" s="1"/>
  <c r="RGP53" i="7" s="1"/>
  <c r="RGQ53" i="7" s="1"/>
  <c r="RGR53" i="7" s="1"/>
  <c r="RGS53" i="7" s="1"/>
  <c r="RGT53" i="7" s="1"/>
  <c r="RGU53" i="7" s="1"/>
  <c r="RGV53" i="7" s="1"/>
  <c r="RGW53" i="7" s="1"/>
  <c r="RGX53" i="7" s="1"/>
  <c r="RGY53" i="7" s="1"/>
  <c r="RGZ53" i="7" s="1"/>
  <c r="RHA53" i="7" s="1"/>
  <c r="RHB53" i="7" s="1"/>
  <c r="RHC53" i="7" s="1"/>
  <c r="RHD53" i="7" s="1"/>
  <c r="RHE53" i="7" s="1"/>
  <c r="RHF53" i="7" s="1"/>
  <c r="RHG53" i="7" s="1"/>
  <c r="RHH53" i="7" s="1"/>
  <c r="RHI53" i="7" s="1"/>
  <c r="RHJ53" i="7" s="1"/>
  <c r="RHK53" i="7" s="1"/>
  <c r="RHL53" i="7" s="1"/>
  <c r="RHM53" i="7" s="1"/>
  <c r="RHN53" i="7" s="1"/>
  <c r="RHO53" i="7" s="1"/>
  <c r="RHP53" i="7" s="1"/>
  <c r="RHQ53" i="7" s="1"/>
  <c r="RHR53" i="7" s="1"/>
  <c r="RHS53" i="7" s="1"/>
  <c r="RHT53" i="7" s="1"/>
  <c r="RHU53" i="7" s="1"/>
  <c r="RHV53" i="7" s="1"/>
  <c r="RHW53" i="7" s="1"/>
  <c r="RHX53" i="7" s="1"/>
  <c r="RHY53" i="7" s="1"/>
  <c r="RHZ53" i="7" s="1"/>
  <c r="RIA53" i="7" s="1"/>
  <c r="RIB53" i="7" s="1"/>
  <c r="RIC53" i="7" s="1"/>
  <c r="RID53" i="7" s="1"/>
  <c r="RIE53" i="7" s="1"/>
  <c r="RIF53" i="7" s="1"/>
  <c r="RIG53" i="7" s="1"/>
  <c r="RIH53" i="7" s="1"/>
  <c r="RII53" i="7" s="1"/>
  <c r="RIJ53" i="7" s="1"/>
  <c r="RIK53" i="7" s="1"/>
  <c r="RIL53" i="7" s="1"/>
  <c r="RIM53" i="7" s="1"/>
  <c r="RIN53" i="7" s="1"/>
  <c r="RIO53" i="7" s="1"/>
  <c r="RIP53" i="7" s="1"/>
  <c r="RIQ53" i="7" s="1"/>
  <c r="RIR53" i="7" s="1"/>
  <c r="RIS53" i="7" s="1"/>
  <c r="RIT53" i="7" s="1"/>
  <c r="RIU53" i="7" s="1"/>
  <c r="RIV53" i="7" s="1"/>
  <c r="RIW53" i="7" s="1"/>
  <c r="RIX53" i="7" s="1"/>
  <c r="RIY53" i="7" s="1"/>
  <c r="RIZ53" i="7" s="1"/>
  <c r="RJA53" i="7" s="1"/>
  <c r="RJB53" i="7" s="1"/>
  <c r="RJC53" i="7" s="1"/>
  <c r="RJD53" i="7" s="1"/>
  <c r="RJE53" i="7" s="1"/>
  <c r="RJF53" i="7" s="1"/>
  <c r="RJG53" i="7" s="1"/>
  <c r="RJH53" i="7" s="1"/>
  <c r="RJI53" i="7" s="1"/>
  <c r="RJJ53" i="7" s="1"/>
  <c r="RJK53" i="7" s="1"/>
  <c r="RJL53" i="7" s="1"/>
  <c r="RJM53" i="7" s="1"/>
  <c r="RJN53" i="7" s="1"/>
  <c r="RJO53" i="7" s="1"/>
  <c r="RJP53" i="7" s="1"/>
  <c r="RJQ53" i="7" s="1"/>
  <c r="RJR53" i="7" s="1"/>
  <c r="RJS53" i="7" s="1"/>
  <c r="RJT53" i="7" s="1"/>
  <c r="RJU53" i="7" s="1"/>
  <c r="RJV53" i="7" s="1"/>
  <c r="RJW53" i="7" s="1"/>
  <c r="RJX53" i="7" s="1"/>
  <c r="RJY53" i="7" s="1"/>
  <c r="RJZ53" i="7" s="1"/>
  <c r="RKA53" i="7" s="1"/>
  <c r="RKB53" i="7" s="1"/>
  <c r="RKC53" i="7" s="1"/>
  <c r="RKD53" i="7" s="1"/>
  <c r="RKE53" i="7" s="1"/>
  <c r="RKF53" i="7" s="1"/>
  <c r="RKG53" i="7" s="1"/>
  <c r="RKH53" i="7" s="1"/>
  <c r="RKI53" i="7" s="1"/>
  <c r="RKJ53" i="7" s="1"/>
  <c r="RKK53" i="7" s="1"/>
  <c r="RKL53" i="7" s="1"/>
  <c r="RKM53" i="7" s="1"/>
  <c r="RKN53" i="7" s="1"/>
  <c r="RKO53" i="7" s="1"/>
  <c r="RKP53" i="7" s="1"/>
  <c r="RKQ53" i="7" s="1"/>
  <c r="RKR53" i="7" s="1"/>
  <c r="RKS53" i="7" s="1"/>
  <c r="RKT53" i="7" s="1"/>
  <c r="RKU53" i="7" s="1"/>
  <c r="RKV53" i="7" s="1"/>
  <c r="RKW53" i="7" s="1"/>
  <c r="RKX53" i="7" s="1"/>
  <c r="RKY53" i="7" s="1"/>
  <c r="RKZ53" i="7" s="1"/>
  <c r="RLA53" i="7" s="1"/>
  <c r="RLB53" i="7" s="1"/>
  <c r="RLC53" i="7" s="1"/>
  <c r="RLD53" i="7" s="1"/>
  <c r="RLE53" i="7" s="1"/>
  <c r="RLF53" i="7" s="1"/>
  <c r="RLG53" i="7" s="1"/>
  <c r="RLH53" i="7" s="1"/>
  <c r="RLI53" i="7" s="1"/>
  <c r="RLJ53" i="7" s="1"/>
  <c r="RLK53" i="7" s="1"/>
  <c r="RLL53" i="7" s="1"/>
  <c r="RLM53" i="7" s="1"/>
  <c r="RLN53" i="7" s="1"/>
  <c r="RLO53" i="7" s="1"/>
  <c r="RLP53" i="7" s="1"/>
  <c r="RLQ53" i="7" s="1"/>
  <c r="RLR53" i="7" s="1"/>
  <c r="RLS53" i="7" s="1"/>
  <c r="RLT53" i="7" s="1"/>
  <c r="RLU53" i="7" s="1"/>
  <c r="RLV53" i="7" s="1"/>
  <c r="RLW53" i="7" s="1"/>
  <c r="RLX53" i="7" s="1"/>
  <c r="RLY53" i="7" s="1"/>
  <c r="RLZ53" i="7" s="1"/>
  <c r="RMA53" i="7" s="1"/>
  <c r="RMB53" i="7" s="1"/>
  <c r="RMC53" i="7" s="1"/>
  <c r="RMD53" i="7" s="1"/>
  <c r="RME53" i="7" s="1"/>
  <c r="RMF53" i="7" s="1"/>
  <c r="RMG53" i="7" s="1"/>
  <c r="RMH53" i="7" s="1"/>
  <c r="RMI53" i="7" s="1"/>
  <c r="RMJ53" i="7" s="1"/>
  <c r="RMK53" i="7" s="1"/>
  <c r="RML53" i="7" s="1"/>
  <c r="RMM53" i="7" s="1"/>
  <c r="RMN53" i="7" s="1"/>
  <c r="RMO53" i="7" s="1"/>
  <c r="RMP53" i="7" s="1"/>
  <c r="RMQ53" i="7" s="1"/>
  <c r="RMR53" i="7" s="1"/>
  <c r="RMS53" i="7" s="1"/>
  <c r="RMT53" i="7" s="1"/>
  <c r="RMU53" i="7" s="1"/>
  <c r="RMV53" i="7" s="1"/>
  <c r="RMW53" i="7" s="1"/>
  <c r="RMX53" i="7" s="1"/>
  <c r="RMY53" i="7" s="1"/>
  <c r="RMZ53" i="7" s="1"/>
  <c r="RNA53" i="7" s="1"/>
  <c r="RNB53" i="7" s="1"/>
  <c r="RNC53" i="7" s="1"/>
  <c r="RND53" i="7" s="1"/>
  <c r="RNE53" i="7" s="1"/>
  <c r="RNF53" i="7" s="1"/>
  <c r="RNG53" i="7" s="1"/>
  <c r="RNH53" i="7" s="1"/>
  <c r="RNI53" i="7" s="1"/>
  <c r="RNJ53" i="7" s="1"/>
  <c r="RNK53" i="7" s="1"/>
  <c r="RNL53" i="7" s="1"/>
  <c r="RNM53" i="7" s="1"/>
  <c r="RNN53" i="7" s="1"/>
  <c r="RNO53" i="7" s="1"/>
  <c r="RNP53" i="7" s="1"/>
  <c r="RNQ53" i="7" s="1"/>
  <c r="RNR53" i="7" s="1"/>
  <c r="RNS53" i="7" s="1"/>
  <c r="RNT53" i="7" s="1"/>
  <c r="RNU53" i="7" s="1"/>
  <c r="RNV53" i="7" s="1"/>
  <c r="RNW53" i="7" s="1"/>
  <c r="RNX53" i="7" s="1"/>
  <c r="RNY53" i="7" s="1"/>
  <c r="RNZ53" i="7" s="1"/>
  <c r="ROA53" i="7" s="1"/>
  <c r="ROB53" i="7" s="1"/>
  <c r="ROC53" i="7" s="1"/>
  <c r="ROD53" i="7" s="1"/>
  <c r="ROE53" i="7" s="1"/>
  <c r="ROF53" i="7" s="1"/>
  <c r="ROG53" i="7" s="1"/>
  <c r="ROH53" i="7" s="1"/>
  <c r="ROI53" i="7" s="1"/>
  <c r="ROJ53" i="7" s="1"/>
  <c r="ROK53" i="7" s="1"/>
  <c r="ROL53" i="7" s="1"/>
  <c r="ROM53" i="7" s="1"/>
  <c r="RON53" i="7" s="1"/>
  <c r="ROO53" i="7" s="1"/>
  <c r="ROP53" i="7" s="1"/>
  <c r="ROQ53" i="7" s="1"/>
  <c r="ROR53" i="7" s="1"/>
  <c r="ROS53" i="7" s="1"/>
  <c r="ROT53" i="7" s="1"/>
  <c r="ROU53" i="7" s="1"/>
  <c r="ROV53" i="7" s="1"/>
  <c r="ROW53" i="7" s="1"/>
  <c r="ROX53" i="7" s="1"/>
  <c r="ROY53" i="7" s="1"/>
  <c r="ROZ53" i="7" s="1"/>
  <c r="RPA53" i="7" s="1"/>
  <c r="RPB53" i="7" s="1"/>
  <c r="RPC53" i="7" s="1"/>
  <c r="RPD53" i="7" s="1"/>
  <c r="RPE53" i="7" s="1"/>
  <c r="RPF53" i="7" s="1"/>
  <c r="RPG53" i="7" s="1"/>
  <c r="RPH53" i="7" s="1"/>
  <c r="RPI53" i="7" s="1"/>
  <c r="RPJ53" i="7" s="1"/>
  <c r="RPK53" i="7" s="1"/>
  <c r="RPL53" i="7" s="1"/>
  <c r="RPM53" i="7" s="1"/>
  <c r="RPN53" i="7" s="1"/>
  <c r="RPO53" i="7" s="1"/>
  <c r="RPP53" i="7" s="1"/>
  <c r="RPQ53" i="7" s="1"/>
  <c r="RPR53" i="7" s="1"/>
  <c r="RPS53" i="7" s="1"/>
  <c r="RPT53" i="7" s="1"/>
  <c r="RPU53" i="7" s="1"/>
  <c r="RPV53" i="7" s="1"/>
  <c r="RPW53" i="7" s="1"/>
  <c r="RPX53" i="7" s="1"/>
  <c r="RPY53" i="7" s="1"/>
  <c r="RPZ53" i="7" s="1"/>
  <c r="RQA53" i="7" s="1"/>
  <c r="RQB53" i="7" s="1"/>
  <c r="RQC53" i="7" s="1"/>
  <c r="RQD53" i="7" s="1"/>
  <c r="RQE53" i="7" s="1"/>
  <c r="RQF53" i="7" s="1"/>
  <c r="RQG53" i="7" s="1"/>
  <c r="RQH53" i="7" s="1"/>
  <c r="RQI53" i="7" s="1"/>
  <c r="RQJ53" i="7" s="1"/>
  <c r="RQK53" i="7" s="1"/>
  <c r="RQL53" i="7" s="1"/>
  <c r="RQM53" i="7" s="1"/>
  <c r="RQN53" i="7" s="1"/>
  <c r="RQO53" i="7" s="1"/>
  <c r="RQP53" i="7" s="1"/>
  <c r="RQQ53" i="7" s="1"/>
  <c r="RQR53" i="7" s="1"/>
  <c r="RQS53" i="7" s="1"/>
  <c r="RQT53" i="7" s="1"/>
  <c r="RQU53" i="7" s="1"/>
  <c r="RQV53" i="7" s="1"/>
  <c r="RQW53" i="7" s="1"/>
  <c r="RQX53" i="7" s="1"/>
  <c r="RQY53" i="7" s="1"/>
  <c r="RQZ53" i="7" s="1"/>
  <c r="RRA53" i="7" s="1"/>
  <c r="RRB53" i="7" s="1"/>
  <c r="RRC53" i="7" s="1"/>
  <c r="RRD53" i="7" s="1"/>
  <c r="RRE53" i="7" s="1"/>
  <c r="RRF53" i="7" s="1"/>
  <c r="RRG53" i="7" s="1"/>
  <c r="RRH53" i="7" s="1"/>
  <c r="RRI53" i="7" s="1"/>
  <c r="RRJ53" i="7" s="1"/>
  <c r="RRK53" i="7" s="1"/>
  <c r="RRL53" i="7" s="1"/>
  <c r="RRM53" i="7" s="1"/>
  <c r="RRN53" i="7" s="1"/>
  <c r="RRO53" i="7" s="1"/>
  <c r="RRP53" i="7" s="1"/>
  <c r="RRQ53" i="7" s="1"/>
  <c r="RRR53" i="7" s="1"/>
  <c r="RRS53" i="7" s="1"/>
  <c r="RRT53" i="7" s="1"/>
  <c r="RRU53" i="7" s="1"/>
  <c r="RRV53" i="7" s="1"/>
  <c r="RRW53" i="7" s="1"/>
  <c r="RRX53" i="7" s="1"/>
  <c r="RRY53" i="7" s="1"/>
  <c r="RRZ53" i="7" s="1"/>
  <c r="RSA53" i="7" s="1"/>
  <c r="RSB53" i="7" s="1"/>
  <c r="RSC53" i="7" s="1"/>
  <c r="RSD53" i="7" s="1"/>
  <c r="RSE53" i="7" s="1"/>
  <c r="RSF53" i="7" s="1"/>
  <c r="RSG53" i="7" s="1"/>
  <c r="RSH53" i="7" s="1"/>
  <c r="RSI53" i="7" s="1"/>
  <c r="RSJ53" i="7" s="1"/>
  <c r="RSK53" i="7" s="1"/>
  <c r="RSL53" i="7" s="1"/>
  <c r="RSM53" i="7" s="1"/>
  <c r="RSN53" i="7" s="1"/>
  <c r="RSO53" i="7" s="1"/>
  <c r="RSP53" i="7" s="1"/>
  <c r="RSQ53" i="7" s="1"/>
  <c r="RSR53" i="7" s="1"/>
  <c r="RSS53" i="7" s="1"/>
  <c r="RST53" i="7" s="1"/>
  <c r="RSU53" i="7" s="1"/>
  <c r="RSV53" i="7" s="1"/>
  <c r="RSW53" i="7" s="1"/>
  <c r="RSX53" i="7" s="1"/>
  <c r="RSY53" i="7" s="1"/>
  <c r="RSZ53" i="7" s="1"/>
  <c r="RTA53" i="7" s="1"/>
  <c r="RTB53" i="7" s="1"/>
  <c r="RTC53" i="7" s="1"/>
  <c r="RTD53" i="7" s="1"/>
  <c r="RTE53" i="7" s="1"/>
  <c r="RTF53" i="7" s="1"/>
  <c r="RTG53" i="7" s="1"/>
  <c r="RTH53" i="7" s="1"/>
  <c r="RTI53" i="7" s="1"/>
  <c r="RTJ53" i="7" s="1"/>
  <c r="RTK53" i="7" s="1"/>
  <c r="RTL53" i="7" s="1"/>
  <c r="RTM53" i="7" s="1"/>
  <c r="RTN53" i="7" s="1"/>
  <c r="RTO53" i="7" s="1"/>
  <c r="RTP53" i="7" s="1"/>
  <c r="RTQ53" i="7" s="1"/>
  <c r="RTR53" i="7" s="1"/>
  <c r="RTS53" i="7" s="1"/>
  <c r="RTT53" i="7" s="1"/>
  <c r="RTU53" i="7" s="1"/>
  <c r="RTV53" i="7" s="1"/>
  <c r="RTW53" i="7" s="1"/>
  <c r="RTX53" i="7" s="1"/>
  <c r="RTY53" i="7" s="1"/>
  <c r="RTZ53" i="7" s="1"/>
  <c r="RUA53" i="7" s="1"/>
  <c r="RUB53" i="7" s="1"/>
  <c r="RUC53" i="7" s="1"/>
  <c r="RUD53" i="7" s="1"/>
  <c r="RUE53" i="7" s="1"/>
  <c r="RUF53" i="7" s="1"/>
  <c r="RUG53" i="7" s="1"/>
  <c r="RUH53" i="7" s="1"/>
  <c r="RUI53" i="7" s="1"/>
  <c r="RUJ53" i="7" s="1"/>
  <c r="RUK53" i="7" s="1"/>
  <c r="RUL53" i="7" s="1"/>
  <c r="RUM53" i="7" s="1"/>
  <c r="RUN53" i="7" s="1"/>
  <c r="RUO53" i="7" s="1"/>
  <c r="RUP53" i="7" s="1"/>
  <c r="RUQ53" i="7" s="1"/>
  <c r="RUR53" i="7" s="1"/>
  <c r="RUS53" i="7" s="1"/>
  <c r="RUT53" i="7" s="1"/>
  <c r="RUU53" i="7" s="1"/>
  <c r="RUV53" i="7" s="1"/>
  <c r="RUW53" i="7" s="1"/>
  <c r="RUX53" i="7" s="1"/>
  <c r="RUY53" i="7" s="1"/>
  <c r="RUZ53" i="7" s="1"/>
  <c r="RVA53" i="7" s="1"/>
  <c r="RVB53" i="7" s="1"/>
  <c r="RVC53" i="7" s="1"/>
  <c r="RVD53" i="7" s="1"/>
  <c r="RVE53" i="7" s="1"/>
  <c r="RVF53" i="7" s="1"/>
  <c r="RVG53" i="7" s="1"/>
  <c r="RVH53" i="7" s="1"/>
  <c r="RVI53" i="7" s="1"/>
  <c r="RVJ53" i="7" s="1"/>
  <c r="RVK53" i="7" s="1"/>
  <c r="RVL53" i="7" s="1"/>
  <c r="RVM53" i="7" s="1"/>
  <c r="RVN53" i="7" s="1"/>
  <c r="RVO53" i="7" s="1"/>
  <c r="RVP53" i="7" s="1"/>
  <c r="RVQ53" i="7" s="1"/>
  <c r="RVR53" i="7" s="1"/>
  <c r="RVS53" i="7" s="1"/>
  <c r="RVT53" i="7" s="1"/>
  <c r="RVU53" i="7" s="1"/>
  <c r="RVV53" i="7" s="1"/>
  <c r="RVW53" i="7" s="1"/>
  <c r="RVX53" i="7" s="1"/>
  <c r="RVY53" i="7" s="1"/>
  <c r="RVZ53" i="7" s="1"/>
  <c r="RWA53" i="7" s="1"/>
  <c r="RWB53" i="7" s="1"/>
  <c r="RWC53" i="7" s="1"/>
  <c r="RWD53" i="7" s="1"/>
  <c r="RWE53" i="7" s="1"/>
  <c r="RWF53" i="7" s="1"/>
  <c r="RWG53" i="7" s="1"/>
  <c r="RWH53" i="7" s="1"/>
  <c r="RWI53" i="7" s="1"/>
  <c r="RWJ53" i="7" s="1"/>
  <c r="RWK53" i="7" s="1"/>
  <c r="RWL53" i="7" s="1"/>
  <c r="RWM53" i="7" s="1"/>
  <c r="RWN53" i="7" s="1"/>
  <c r="RWO53" i="7" s="1"/>
  <c r="RWP53" i="7" s="1"/>
  <c r="RWQ53" i="7" s="1"/>
  <c r="RWR53" i="7" s="1"/>
  <c r="RWS53" i="7" s="1"/>
  <c r="RWT53" i="7" s="1"/>
  <c r="RWU53" i="7" s="1"/>
  <c r="RWV53" i="7" s="1"/>
  <c r="RWW53" i="7" s="1"/>
  <c r="RWX53" i="7" s="1"/>
  <c r="RWY53" i="7" s="1"/>
  <c r="RWZ53" i="7" s="1"/>
  <c r="RXA53" i="7" s="1"/>
  <c r="RXB53" i="7" s="1"/>
  <c r="RXC53" i="7" s="1"/>
  <c r="RXD53" i="7" s="1"/>
  <c r="RXE53" i="7" s="1"/>
  <c r="RXF53" i="7" s="1"/>
  <c r="RXG53" i="7" s="1"/>
  <c r="RXH53" i="7" s="1"/>
  <c r="RXI53" i="7" s="1"/>
  <c r="RXJ53" i="7" s="1"/>
  <c r="RXK53" i="7" s="1"/>
  <c r="RXL53" i="7" s="1"/>
  <c r="RXM53" i="7" s="1"/>
  <c r="RXN53" i="7" s="1"/>
  <c r="RXO53" i="7" s="1"/>
  <c r="RXP53" i="7" s="1"/>
  <c r="RXQ53" i="7" s="1"/>
  <c r="RXR53" i="7" s="1"/>
  <c r="RXS53" i="7" s="1"/>
  <c r="RXT53" i="7" s="1"/>
  <c r="RXU53" i="7" s="1"/>
  <c r="RXV53" i="7" s="1"/>
  <c r="RXW53" i="7" s="1"/>
  <c r="RXX53" i="7" s="1"/>
  <c r="RXY53" i="7" s="1"/>
  <c r="RXZ53" i="7" s="1"/>
  <c r="RYA53" i="7" s="1"/>
  <c r="RYB53" i="7" s="1"/>
  <c r="RYC53" i="7" s="1"/>
  <c r="RYD53" i="7" s="1"/>
  <c r="RYE53" i="7" s="1"/>
  <c r="RYF53" i="7" s="1"/>
  <c r="RYG53" i="7" s="1"/>
  <c r="RYH53" i="7" s="1"/>
  <c r="RYI53" i="7" s="1"/>
  <c r="RYJ53" i="7" s="1"/>
  <c r="RYK53" i="7" s="1"/>
  <c r="RYL53" i="7" s="1"/>
  <c r="RYM53" i="7" s="1"/>
  <c r="RYN53" i="7" s="1"/>
  <c r="RYO53" i="7" s="1"/>
  <c r="RYP53" i="7" s="1"/>
  <c r="RYQ53" i="7" s="1"/>
  <c r="RYR53" i="7" s="1"/>
  <c r="RYS53" i="7" s="1"/>
  <c r="RYT53" i="7" s="1"/>
  <c r="RYU53" i="7" s="1"/>
  <c r="RYV53" i="7" s="1"/>
  <c r="RYW53" i="7" s="1"/>
  <c r="RYX53" i="7" s="1"/>
  <c r="RYY53" i="7" s="1"/>
  <c r="RYZ53" i="7" s="1"/>
  <c r="RZA53" i="7" s="1"/>
  <c r="RZB53" i="7" s="1"/>
  <c r="RZC53" i="7" s="1"/>
  <c r="RZD53" i="7" s="1"/>
  <c r="RZE53" i="7" s="1"/>
  <c r="RZF53" i="7" s="1"/>
  <c r="RZG53" i="7" s="1"/>
  <c r="RZH53" i="7" s="1"/>
  <c r="RZI53" i="7" s="1"/>
  <c r="RZJ53" i="7" s="1"/>
  <c r="RZK53" i="7" s="1"/>
  <c r="RZL53" i="7" s="1"/>
  <c r="RZM53" i="7" s="1"/>
  <c r="RZN53" i="7" s="1"/>
  <c r="RZO53" i="7" s="1"/>
  <c r="RZP53" i="7" s="1"/>
  <c r="RZQ53" i="7" s="1"/>
  <c r="RZR53" i="7" s="1"/>
  <c r="RZS53" i="7" s="1"/>
  <c r="RZT53" i="7" s="1"/>
  <c r="RZU53" i="7" s="1"/>
  <c r="RZV53" i="7" s="1"/>
  <c r="RZW53" i="7" s="1"/>
  <c r="RZX53" i="7" s="1"/>
  <c r="RZY53" i="7" s="1"/>
  <c r="RZZ53" i="7" s="1"/>
  <c r="SAA53" i="7" s="1"/>
  <c r="SAB53" i="7" s="1"/>
  <c r="SAC53" i="7" s="1"/>
  <c r="SAD53" i="7" s="1"/>
  <c r="SAE53" i="7" s="1"/>
  <c r="SAF53" i="7" s="1"/>
  <c r="SAG53" i="7" s="1"/>
  <c r="SAH53" i="7" s="1"/>
  <c r="SAI53" i="7" s="1"/>
  <c r="SAJ53" i="7" s="1"/>
  <c r="SAK53" i="7" s="1"/>
  <c r="SAL53" i="7" s="1"/>
  <c r="SAM53" i="7" s="1"/>
  <c r="SAN53" i="7" s="1"/>
  <c r="SAO53" i="7" s="1"/>
  <c r="SAP53" i="7" s="1"/>
  <c r="SAQ53" i="7" s="1"/>
  <c r="SAR53" i="7" s="1"/>
  <c r="SAS53" i="7" s="1"/>
  <c r="SAT53" i="7" s="1"/>
  <c r="SAU53" i="7" s="1"/>
  <c r="SAV53" i="7" s="1"/>
  <c r="SAW53" i="7" s="1"/>
  <c r="SAX53" i="7" s="1"/>
  <c r="SAY53" i="7" s="1"/>
  <c r="SAZ53" i="7" s="1"/>
  <c r="SBA53" i="7" s="1"/>
  <c r="SBB53" i="7" s="1"/>
  <c r="SBC53" i="7" s="1"/>
  <c r="SBD53" i="7" s="1"/>
  <c r="SBE53" i="7" s="1"/>
  <c r="SBF53" i="7" s="1"/>
  <c r="SBG53" i="7" s="1"/>
  <c r="SBH53" i="7" s="1"/>
  <c r="SBI53" i="7" s="1"/>
  <c r="SBJ53" i="7" s="1"/>
  <c r="SBK53" i="7" s="1"/>
  <c r="SBL53" i="7" s="1"/>
  <c r="SBM53" i="7" s="1"/>
  <c r="SBN53" i="7" s="1"/>
  <c r="SBO53" i="7" s="1"/>
  <c r="SBP53" i="7" s="1"/>
  <c r="SBQ53" i="7" s="1"/>
  <c r="SBR53" i="7" s="1"/>
  <c r="SBS53" i="7" s="1"/>
  <c r="SBT53" i="7" s="1"/>
  <c r="SBU53" i="7" s="1"/>
  <c r="SBV53" i="7" s="1"/>
  <c r="SBW53" i="7" s="1"/>
  <c r="SBX53" i="7" s="1"/>
  <c r="SBY53" i="7" s="1"/>
  <c r="SBZ53" i="7" s="1"/>
  <c r="SCA53" i="7" s="1"/>
  <c r="SCB53" i="7" s="1"/>
  <c r="SCC53" i="7" s="1"/>
  <c r="SCD53" i="7" s="1"/>
  <c r="SCE53" i="7" s="1"/>
  <c r="SCF53" i="7" s="1"/>
  <c r="SCG53" i="7" s="1"/>
  <c r="SCH53" i="7" s="1"/>
  <c r="SCI53" i="7" s="1"/>
  <c r="SCJ53" i="7" s="1"/>
  <c r="SCK53" i="7" s="1"/>
  <c r="SCL53" i="7" s="1"/>
  <c r="SCM53" i="7" s="1"/>
  <c r="SCN53" i="7" s="1"/>
  <c r="SCO53" i="7" s="1"/>
  <c r="SCP53" i="7" s="1"/>
  <c r="SCQ53" i="7" s="1"/>
  <c r="SCR53" i="7" s="1"/>
  <c r="SCS53" i="7" s="1"/>
  <c r="SCT53" i="7" s="1"/>
  <c r="SCU53" i="7" s="1"/>
  <c r="SCV53" i="7" s="1"/>
  <c r="SCW53" i="7" s="1"/>
  <c r="SCX53" i="7" s="1"/>
  <c r="SCY53" i="7" s="1"/>
  <c r="SCZ53" i="7" s="1"/>
  <c r="SDA53" i="7" s="1"/>
  <c r="SDB53" i="7" s="1"/>
  <c r="SDC53" i="7" s="1"/>
  <c r="SDD53" i="7" s="1"/>
  <c r="SDE53" i="7" s="1"/>
  <c r="SDF53" i="7" s="1"/>
  <c r="SDG53" i="7" s="1"/>
  <c r="SDH53" i="7" s="1"/>
  <c r="SDI53" i="7" s="1"/>
  <c r="SDJ53" i="7" s="1"/>
  <c r="SDK53" i="7" s="1"/>
  <c r="SDL53" i="7" s="1"/>
  <c r="SDM53" i="7" s="1"/>
  <c r="SDN53" i="7" s="1"/>
  <c r="SDO53" i="7" s="1"/>
  <c r="SDP53" i="7" s="1"/>
  <c r="SDQ53" i="7" s="1"/>
  <c r="SDR53" i="7" s="1"/>
  <c r="SDS53" i="7" s="1"/>
  <c r="SDT53" i="7" s="1"/>
  <c r="SDU53" i="7" s="1"/>
  <c r="SDV53" i="7" s="1"/>
  <c r="SDW53" i="7" s="1"/>
  <c r="SDX53" i="7" s="1"/>
  <c r="SDY53" i="7" s="1"/>
  <c r="SDZ53" i="7" s="1"/>
  <c r="SEA53" i="7" s="1"/>
  <c r="SEB53" i="7" s="1"/>
  <c r="SEC53" i="7" s="1"/>
  <c r="SED53" i="7" s="1"/>
  <c r="SEE53" i="7" s="1"/>
  <c r="SEF53" i="7" s="1"/>
  <c r="SEG53" i="7" s="1"/>
  <c r="SEH53" i="7" s="1"/>
  <c r="SEI53" i="7" s="1"/>
  <c r="SEJ53" i="7" s="1"/>
  <c r="SEK53" i="7" s="1"/>
  <c r="SEL53" i="7" s="1"/>
  <c r="SEM53" i="7" s="1"/>
  <c r="SEN53" i="7" s="1"/>
  <c r="SEO53" i="7" s="1"/>
  <c r="SEP53" i="7" s="1"/>
  <c r="SEQ53" i="7" s="1"/>
  <c r="SER53" i="7" s="1"/>
  <c r="SES53" i="7" s="1"/>
  <c r="SET53" i="7" s="1"/>
  <c r="SEU53" i="7" s="1"/>
  <c r="SEV53" i="7" s="1"/>
  <c r="SEW53" i="7" s="1"/>
  <c r="SEX53" i="7" s="1"/>
  <c r="SEY53" i="7" s="1"/>
  <c r="SEZ53" i="7" s="1"/>
  <c r="SFA53" i="7" s="1"/>
  <c r="SFB53" i="7" s="1"/>
  <c r="SFC53" i="7" s="1"/>
  <c r="SFD53" i="7" s="1"/>
  <c r="SFE53" i="7" s="1"/>
  <c r="SFF53" i="7" s="1"/>
  <c r="SFG53" i="7" s="1"/>
  <c r="SFH53" i="7" s="1"/>
  <c r="SFI53" i="7" s="1"/>
  <c r="SFJ53" i="7" s="1"/>
  <c r="SFK53" i="7" s="1"/>
  <c r="SFL53" i="7" s="1"/>
  <c r="SFM53" i="7" s="1"/>
  <c r="SFN53" i="7" s="1"/>
  <c r="SFO53" i="7" s="1"/>
  <c r="SFP53" i="7" s="1"/>
  <c r="SFQ53" i="7" s="1"/>
  <c r="SFR53" i="7" s="1"/>
  <c r="SFS53" i="7" s="1"/>
  <c r="SFT53" i="7" s="1"/>
  <c r="SFU53" i="7" s="1"/>
  <c r="SFV53" i="7" s="1"/>
  <c r="SFW53" i="7" s="1"/>
  <c r="SFX53" i="7" s="1"/>
  <c r="SFY53" i="7" s="1"/>
  <c r="SFZ53" i="7" s="1"/>
  <c r="SGA53" i="7" s="1"/>
  <c r="SGB53" i="7" s="1"/>
  <c r="SGC53" i="7" s="1"/>
  <c r="SGD53" i="7" s="1"/>
  <c r="SGE53" i="7" s="1"/>
  <c r="SGF53" i="7" s="1"/>
  <c r="SGG53" i="7" s="1"/>
  <c r="SGH53" i="7" s="1"/>
  <c r="SGI53" i="7" s="1"/>
  <c r="SGJ53" i="7" s="1"/>
  <c r="SGK53" i="7" s="1"/>
  <c r="SGL53" i="7" s="1"/>
  <c r="SGM53" i="7" s="1"/>
  <c r="SGN53" i="7" s="1"/>
  <c r="SGO53" i="7" s="1"/>
  <c r="SGP53" i="7" s="1"/>
  <c r="SGQ53" i="7" s="1"/>
  <c r="SGR53" i="7" s="1"/>
  <c r="SGS53" i="7" s="1"/>
  <c r="SGT53" i="7" s="1"/>
  <c r="SGU53" i="7" s="1"/>
  <c r="SGV53" i="7" s="1"/>
  <c r="SGW53" i="7" s="1"/>
  <c r="SGX53" i="7" s="1"/>
  <c r="SGY53" i="7" s="1"/>
  <c r="SGZ53" i="7" s="1"/>
  <c r="SHA53" i="7" s="1"/>
  <c r="SHB53" i="7" s="1"/>
  <c r="SHC53" i="7" s="1"/>
  <c r="SHD53" i="7" s="1"/>
  <c r="SHE53" i="7" s="1"/>
  <c r="SHF53" i="7" s="1"/>
  <c r="SHG53" i="7" s="1"/>
  <c r="SHH53" i="7" s="1"/>
  <c r="SHI53" i="7" s="1"/>
  <c r="SHJ53" i="7" s="1"/>
  <c r="SHK53" i="7" s="1"/>
  <c r="SHL53" i="7" s="1"/>
  <c r="SHM53" i="7" s="1"/>
  <c r="SHN53" i="7" s="1"/>
  <c r="SHO53" i="7" s="1"/>
  <c r="SHP53" i="7" s="1"/>
  <c r="SHQ53" i="7" s="1"/>
  <c r="SHR53" i="7" s="1"/>
  <c r="SHS53" i="7" s="1"/>
  <c r="SHT53" i="7" s="1"/>
  <c r="SHU53" i="7" s="1"/>
  <c r="SHV53" i="7" s="1"/>
  <c r="SHW53" i="7" s="1"/>
  <c r="SHX53" i="7" s="1"/>
  <c r="SHY53" i="7" s="1"/>
  <c r="SHZ53" i="7" s="1"/>
  <c r="SIA53" i="7" s="1"/>
  <c r="SIB53" i="7" s="1"/>
  <c r="SIC53" i="7" s="1"/>
  <c r="SID53" i="7" s="1"/>
  <c r="SIE53" i="7" s="1"/>
  <c r="SIF53" i="7" s="1"/>
  <c r="SIG53" i="7" s="1"/>
  <c r="SIH53" i="7" s="1"/>
  <c r="SII53" i="7" s="1"/>
  <c r="SIJ53" i="7" s="1"/>
  <c r="SIK53" i="7" s="1"/>
  <c r="SIL53" i="7" s="1"/>
  <c r="SIM53" i="7" s="1"/>
  <c r="SIN53" i="7" s="1"/>
  <c r="SIO53" i="7" s="1"/>
  <c r="SIP53" i="7" s="1"/>
  <c r="SIQ53" i="7" s="1"/>
  <c r="SIR53" i="7" s="1"/>
  <c r="SIS53" i="7" s="1"/>
  <c r="SIT53" i="7" s="1"/>
  <c r="SIU53" i="7" s="1"/>
  <c r="SIV53" i="7" s="1"/>
  <c r="SIW53" i="7" s="1"/>
  <c r="SIX53" i="7" s="1"/>
  <c r="SIY53" i="7" s="1"/>
  <c r="SIZ53" i="7" s="1"/>
  <c r="SJA53" i="7" s="1"/>
  <c r="SJB53" i="7" s="1"/>
  <c r="SJC53" i="7" s="1"/>
  <c r="SJD53" i="7" s="1"/>
  <c r="SJE53" i="7" s="1"/>
  <c r="SJF53" i="7" s="1"/>
  <c r="SJG53" i="7" s="1"/>
  <c r="SJH53" i="7" s="1"/>
  <c r="SJI53" i="7" s="1"/>
  <c r="SJJ53" i="7" s="1"/>
  <c r="SJK53" i="7" s="1"/>
  <c r="SJL53" i="7" s="1"/>
  <c r="SJM53" i="7" s="1"/>
  <c r="SJN53" i="7" s="1"/>
  <c r="SJO53" i="7" s="1"/>
  <c r="SJP53" i="7" s="1"/>
  <c r="SJQ53" i="7" s="1"/>
  <c r="SJR53" i="7" s="1"/>
  <c r="SJS53" i="7" s="1"/>
  <c r="SJT53" i="7" s="1"/>
  <c r="SJU53" i="7" s="1"/>
  <c r="SJV53" i="7" s="1"/>
  <c r="SJW53" i="7" s="1"/>
  <c r="SJX53" i="7" s="1"/>
  <c r="SJY53" i="7" s="1"/>
  <c r="SJZ53" i="7" s="1"/>
  <c r="SKA53" i="7" s="1"/>
  <c r="SKB53" i="7" s="1"/>
  <c r="SKC53" i="7" s="1"/>
  <c r="SKD53" i="7" s="1"/>
  <c r="SKE53" i="7" s="1"/>
  <c r="SKF53" i="7" s="1"/>
  <c r="SKG53" i="7" s="1"/>
  <c r="SKH53" i="7" s="1"/>
  <c r="SKI53" i="7" s="1"/>
  <c r="SKJ53" i="7" s="1"/>
  <c r="SKK53" i="7" s="1"/>
  <c r="SKL53" i="7" s="1"/>
  <c r="SKM53" i="7" s="1"/>
  <c r="SKN53" i="7" s="1"/>
  <c r="SKO53" i="7" s="1"/>
  <c r="SKP53" i="7" s="1"/>
  <c r="SKQ53" i="7" s="1"/>
  <c r="SKR53" i="7" s="1"/>
  <c r="SKS53" i="7" s="1"/>
  <c r="SKT53" i="7" s="1"/>
  <c r="SKU53" i="7" s="1"/>
  <c r="SKV53" i="7" s="1"/>
  <c r="SKW53" i="7" s="1"/>
  <c r="SKX53" i="7" s="1"/>
  <c r="SKY53" i="7" s="1"/>
  <c r="SKZ53" i="7" s="1"/>
  <c r="SLA53" i="7" s="1"/>
  <c r="SLB53" i="7" s="1"/>
  <c r="SLC53" i="7" s="1"/>
  <c r="SLD53" i="7" s="1"/>
  <c r="SLE53" i="7" s="1"/>
  <c r="SLF53" i="7" s="1"/>
  <c r="SLG53" i="7" s="1"/>
  <c r="SLH53" i="7" s="1"/>
  <c r="SLI53" i="7" s="1"/>
  <c r="SLJ53" i="7" s="1"/>
  <c r="SLK53" i="7" s="1"/>
  <c r="SLL53" i="7" s="1"/>
  <c r="SLM53" i="7" s="1"/>
  <c r="SLN53" i="7" s="1"/>
  <c r="SLO53" i="7" s="1"/>
  <c r="SLP53" i="7" s="1"/>
  <c r="SLQ53" i="7" s="1"/>
  <c r="SLR53" i="7" s="1"/>
  <c r="SLS53" i="7" s="1"/>
  <c r="SLT53" i="7" s="1"/>
  <c r="SLU53" i="7" s="1"/>
  <c r="SLV53" i="7" s="1"/>
  <c r="SLW53" i="7" s="1"/>
  <c r="SLX53" i="7" s="1"/>
  <c r="SLY53" i="7" s="1"/>
  <c r="SLZ53" i="7" s="1"/>
  <c r="SMA53" i="7" s="1"/>
  <c r="SMB53" i="7" s="1"/>
  <c r="SMC53" i="7" s="1"/>
  <c r="SMD53" i="7" s="1"/>
  <c r="SME53" i="7" s="1"/>
  <c r="SMF53" i="7" s="1"/>
  <c r="SMG53" i="7" s="1"/>
  <c r="SMH53" i="7" s="1"/>
  <c r="SMI53" i="7" s="1"/>
  <c r="SMJ53" i="7" s="1"/>
  <c r="SMK53" i="7" s="1"/>
  <c r="SML53" i="7" s="1"/>
  <c r="SMM53" i="7" s="1"/>
  <c r="SMN53" i="7" s="1"/>
  <c r="SMO53" i="7" s="1"/>
  <c r="SMP53" i="7" s="1"/>
  <c r="SMQ53" i="7" s="1"/>
  <c r="SMR53" i="7" s="1"/>
  <c r="SMS53" i="7" s="1"/>
  <c r="SMT53" i="7" s="1"/>
  <c r="SMU53" i="7" s="1"/>
  <c r="SMV53" i="7" s="1"/>
  <c r="SMW53" i="7" s="1"/>
  <c r="SMX53" i="7" s="1"/>
  <c r="SMY53" i="7" s="1"/>
  <c r="SMZ53" i="7" s="1"/>
  <c r="SNA53" i="7" s="1"/>
  <c r="SNB53" i="7" s="1"/>
  <c r="SNC53" i="7" s="1"/>
  <c r="SND53" i="7" s="1"/>
  <c r="SNE53" i="7" s="1"/>
  <c r="SNF53" i="7" s="1"/>
  <c r="SNG53" i="7" s="1"/>
  <c r="SNH53" i="7" s="1"/>
  <c r="SNI53" i="7" s="1"/>
  <c r="SNJ53" i="7" s="1"/>
  <c r="SNK53" i="7" s="1"/>
  <c r="SNL53" i="7" s="1"/>
  <c r="SNM53" i="7" s="1"/>
  <c r="SNN53" i="7" s="1"/>
  <c r="SNO53" i="7" s="1"/>
  <c r="SNP53" i="7" s="1"/>
  <c r="SNQ53" i="7" s="1"/>
  <c r="SNR53" i="7" s="1"/>
  <c r="SNS53" i="7" s="1"/>
  <c r="SNT53" i="7" s="1"/>
  <c r="SNU53" i="7" s="1"/>
  <c r="SNV53" i="7" s="1"/>
  <c r="SNW53" i="7" s="1"/>
  <c r="SNX53" i="7" s="1"/>
  <c r="SNY53" i="7" s="1"/>
  <c r="SNZ53" i="7" s="1"/>
  <c r="SOA53" i="7" s="1"/>
  <c r="SOB53" i="7" s="1"/>
  <c r="SOC53" i="7" s="1"/>
  <c r="SOD53" i="7" s="1"/>
  <c r="SOE53" i="7" s="1"/>
  <c r="SOF53" i="7" s="1"/>
  <c r="SOG53" i="7" s="1"/>
  <c r="SOH53" i="7" s="1"/>
  <c r="SOI53" i="7" s="1"/>
  <c r="SOJ53" i="7" s="1"/>
  <c r="SOK53" i="7" s="1"/>
  <c r="SOL53" i="7" s="1"/>
  <c r="SOM53" i="7" s="1"/>
  <c r="SON53" i="7" s="1"/>
  <c r="SOO53" i="7" s="1"/>
  <c r="SOP53" i="7" s="1"/>
  <c r="SOQ53" i="7" s="1"/>
  <c r="SOR53" i="7" s="1"/>
  <c r="SOS53" i="7" s="1"/>
  <c r="SOT53" i="7" s="1"/>
  <c r="SOU53" i="7" s="1"/>
  <c r="SOV53" i="7" s="1"/>
  <c r="SOW53" i="7" s="1"/>
  <c r="SOX53" i="7" s="1"/>
  <c r="SOY53" i="7" s="1"/>
  <c r="SOZ53" i="7" s="1"/>
  <c r="SPA53" i="7" s="1"/>
  <c r="SPB53" i="7" s="1"/>
  <c r="SPC53" i="7" s="1"/>
  <c r="SPD53" i="7" s="1"/>
  <c r="SPE53" i="7" s="1"/>
  <c r="SPF53" i="7" s="1"/>
  <c r="SPG53" i="7" s="1"/>
  <c r="SPH53" i="7" s="1"/>
  <c r="SPI53" i="7" s="1"/>
  <c r="SPJ53" i="7" s="1"/>
  <c r="SPK53" i="7" s="1"/>
  <c r="SPL53" i="7" s="1"/>
  <c r="SPM53" i="7" s="1"/>
  <c r="SPN53" i="7" s="1"/>
  <c r="SPO53" i="7" s="1"/>
  <c r="SPP53" i="7" s="1"/>
  <c r="SPQ53" i="7" s="1"/>
  <c r="SPR53" i="7" s="1"/>
  <c r="SPS53" i="7" s="1"/>
  <c r="SPT53" i="7" s="1"/>
  <c r="SPU53" i="7" s="1"/>
  <c r="SPV53" i="7" s="1"/>
  <c r="SPW53" i="7" s="1"/>
  <c r="SPX53" i="7" s="1"/>
  <c r="SPY53" i="7" s="1"/>
  <c r="SPZ53" i="7" s="1"/>
  <c r="SQA53" i="7" s="1"/>
  <c r="SQB53" i="7" s="1"/>
  <c r="SQC53" i="7" s="1"/>
  <c r="SQD53" i="7" s="1"/>
  <c r="SQE53" i="7" s="1"/>
  <c r="SQF53" i="7" s="1"/>
  <c r="SQG53" i="7" s="1"/>
  <c r="SQH53" i="7" s="1"/>
  <c r="SQI53" i="7" s="1"/>
  <c r="SQJ53" i="7" s="1"/>
  <c r="SQK53" i="7" s="1"/>
  <c r="SQL53" i="7" s="1"/>
  <c r="SQM53" i="7" s="1"/>
  <c r="SQN53" i="7" s="1"/>
  <c r="SQO53" i="7" s="1"/>
  <c r="SQP53" i="7" s="1"/>
  <c r="SQQ53" i="7" s="1"/>
  <c r="SQR53" i="7" s="1"/>
  <c r="SQS53" i="7" s="1"/>
  <c r="SQT53" i="7" s="1"/>
  <c r="SQU53" i="7" s="1"/>
  <c r="SQV53" i="7" s="1"/>
  <c r="SQW53" i="7" s="1"/>
  <c r="SQX53" i="7" s="1"/>
  <c r="SQY53" i="7" s="1"/>
  <c r="SQZ53" i="7" s="1"/>
  <c r="SRA53" i="7" s="1"/>
  <c r="SRB53" i="7" s="1"/>
  <c r="SRC53" i="7" s="1"/>
  <c r="SRD53" i="7" s="1"/>
  <c r="SRE53" i="7" s="1"/>
  <c r="SRF53" i="7" s="1"/>
  <c r="SRG53" i="7" s="1"/>
  <c r="SRH53" i="7" s="1"/>
  <c r="SRI53" i="7" s="1"/>
  <c r="SRJ53" i="7" s="1"/>
  <c r="SRK53" i="7" s="1"/>
  <c r="SRL53" i="7" s="1"/>
  <c r="SRM53" i="7" s="1"/>
  <c r="SRN53" i="7" s="1"/>
  <c r="SRO53" i="7" s="1"/>
  <c r="SRP53" i="7" s="1"/>
  <c r="SRQ53" i="7" s="1"/>
  <c r="SRR53" i="7" s="1"/>
  <c r="SRS53" i="7" s="1"/>
  <c r="SRT53" i="7" s="1"/>
  <c r="SRU53" i="7" s="1"/>
  <c r="SRV53" i="7" s="1"/>
  <c r="SRW53" i="7" s="1"/>
  <c r="SRX53" i="7" s="1"/>
  <c r="SRY53" i="7" s="1"/>
  <c r="SRZ53" i="7" s="1"/>
  <c r="SSA53" i="7" s="1"/>
  <c r="SSB53" i="7" s="1"/>
  <c r="SSC53" i="7" s="1"/>
  <c r="SSD53" i="7" s="1"/>
  <c r="SSE53" i="7" s="1"/>
  <c r="SSF53" i="7" s="1"/>
  <c r="SSG53" i="7" s="1"/>
  <c r="SSH53" i="7" s="1"/>
  <c r="SSI53" i="7" s="1"/>
  <c r="SSJ53" i="7" s="1"/>
  <c r="SSK53" i="7" s="1"/>
  <c r="SSL53" i="7" s="1"/>
  <c r="SSM53" i="7" s="1"/>
  <c r="SSN53" i="7" s="1"/>
  <c r="SSO53" i="7" s="1"/>
  <c r="SSP53" i="7" s="1"/>
  <c r="SSQ53" i="7" s="1"/>
  <c r="SSR53" i="7" s="1"/>
  <c r="SSS53" i="7" s="1"/>
  <c r="SST53" i="7" s="1"/>
  <c r="SSU53" i="7" s="1"/>
  <c r="SSV53" i="7" s="1"/>
  <c r="SSW53" i="7" s="1"/>
  <c r="SSX53" i="7" s="1"/>
  <c r="SSY53" i="7" s="1"/>
  <c r="SSZ53" i="7" s="1"/>
  <c r="STA53" i="7" s="1"/>
  <c r="STB53" i="7" s="1"/>
  <c r="STC53" i="7" s="1"/>
  <c r="STD53" i="7" s="1"/>
  <c r="STE53" i="7" s="1"/>
  <c r="STF53" i="7" s="1"/>
  <c r="STG53" i="7" s="1"/>
  <c r="STH53" i="7" s="1"/>
  <c r="STI53" i="7" s="1"/>
  <c r="STJ53" i="7" s="1"/>
  <c r="STK53" i="7" s="1"/>
  <c r="STL53" i="7" s="1"/>
  <c r="STM53" i="7" s="1"/>
  <c r="STN53" i="7" s="1"/>
  <c r="STO53" i="7" s="1"/>
  <c r="STP53" i="7" s="1"/>
  <c r="STQ53" i="7" s="1"/>
  <c r="STR53" i="7" s="1"/>
  <c r="STS53" i="7" s="1"/>
  <c r="STT53" i="7" s="1"/>
  <c r="STU53" i="7" s="1"/>
  <c r="STV53" i="7" s="1"/>
  <c r="STW53" i="7" s="1"/>
  <c r="STX53" i="7" s="1"/>
  <c r="STY53" i="7" s="1"/>
  <c r="STZ53" i="7" s="1"/>
  <c r="SUA53" i="7" s="1"/>
  <c r="SUB53" i="7" s="1"/>
  <c r="SUC53" i="7" s="1"/>
  <c r="SUD53" i="7" s="1"/>
  <c r="SUE53" i="7" s="1"/>
  <c r="SUF53" i="7" s="1"/>
  <c r="SUG53" i="7" s="1"/>
  <c r="SUH53" i="7" s="1"/>
  <c r="SUI53" i="7" s="1"/>
  <c r="SUJ53" i="7" s="1"/>
  <c r="SUK53" i="7" s="1"/>
  <c r="SUL53" i="7" s="1"/>
  <c r="SUM53" i="7" s="1"/>
  <c r="SUN53" i="7" s="1"/>
  <c r="SUO53" i="7" s="1"/>
  <c r="SUP53" i="7" s="1"/>
  <c r="SUQ53" i="7" s="1"/>
  <c r="SUR53" i="7" s="1"/>
  <c r="SUS53" i="7" s="1"/>
  <c r="SUT53" i="7" s="1"/>
  <c r="SUU53" i="7" s="1"/>
  <c r="SUV53" i="7" s="1"/>
  <c r="SUW53" i="7" s="1"/>
  <c r="SUX53" i="7" s="1"/>
  <c r="SUY53" i="7" s="1"/>
  <c r="SUZ53" i="7" s="1"/>
  <c r="SVA53" i="7" s="1"/>
  <c r="SVB53" i="7" s="1"/>
  <c r="SVC53" i="7" s="1"/>
  <c r="SVD53" i="7" s="1"/>
  <c r="SVE53" i="7" s="1"/>
  <c r="SVF53" i="7" s="1"/>
  <c r="SVG53" i="7" s="1"/>
  <c r="SVH53" i="7" s="1"/>
  <c r="SVI53" i="7" s="1"/>
  <c r="SVJ53" i="7" s="1"/>
  <c r="SVK53" i="7" s="1"/>
  <c r="SVL53" i="7" s="1"/>
  <c r="SVM53" i="7" s="1"/>
  <c r="SVN53" i="7" s="1"/>
  <c r="SVO53" i="7" s="1"/>
  <c r="SVP53" i="7" s="1"/>
  <c r="SVQ53" i="7" s="1"/>
  <c r="SVR53" i="7" s="1"/>
  <c r="SVS53" i="7" s="1"/>
  <c r="SVT53" i="7" s="1"/>
  <c r="SVU53" i="7" s="1"/>
  <c r="SVV53" i="7" s="1"/>
  <c r="SVW53" i="7" s="1"/>
  <c r="SVX53" i="7" s="1"/>
  <c r="SVY53" i="7" s="1"/>
  <c r="SVZ53" i="7" s="1"/>
  <c r="SWA53" i="7" s="1"/>
  <c r="SWB53" i="7" s="1"/>
  <c r="SWC53" i="7" s="1"/>
  <c r="SWD53" i="7" s="1"/>
  <c r="SWE53" i="7" s="1"/>
  <c r="SWF53" i="7" s="1"/>
  <c r="SWG53" i="7" s="1"/>
  <c r="SWH53" i="7" s="1"/>
  <c r="SWI53" i="7" s="1"/>
  <c r="SWJ53" i="7" s="1"/>
  <c r="SWK53" i="7" s="1"/>
  <c r="SWL53" i="7" s="1"/>
  <c r="SWM53" i="7" s="1"/>
  <c r="SWN53" i="7" s="1"/>
  <c r="SWO53" i="7" s="1"/>
  <c r="SWP53" i="7" s="1"/>
  <c r="SWQ53" i="7" s="1"/>
  <c r="SWR53" i="7" s="1"/>
  <c r="SWS53" i="7" s="1"/>
  <c r="SWT53" i="7" s="1"/>
  <c r="SWU53" i="7" s="1"/>
  <c r="SWV53" i="7" s="1"/>
  <c r="SWW53" i="7" s="1"/>
  <c r="SWX53" i="7" s="1"/>
  <c r="SWY53" i="7" s="1"/>
  <c r="SWZ53" i="7" s="1"/>
  <c r="SXA53" i="7" s="1"/>
  <c r="SXB53" i="7" s="1"/>
  <c r="SXC53" i="7" s="1"/>
  <c r="SXD53" i="7" s="1"/>
  <c r="SXE53" i="7" s="1"/>
  <c r="SXF53" i="7" s="1"/>
  <c r="SXG53" i="7" s="1"/>
  <c r="SXH53" i="7" s="1"/>
  <c r="SXI53" i="7" s="1"/>
  <c r="SXJ53" i="7" s="1"/>
  <c r="SXK53" i="7" s="1"/>
  <c r="SXL53" i="7" s="1"/>
  <c r="SXM53" i="7" s="1"/>
  <c r="SXN53" i="7" s="1"/>
  <c r="SXO53" i="7" s="1"/>
  <c r="SXP53" i="7" s="1"/>
  <c r="SXQ53" i="7" s="1"/>
  <c r="SXR53" i="7" s="1"/>
  <c r="SXS53" i="7" s="1"/>
  <c r="SXT53" i="7" s="1"/>
  <c r="SXU53" i="7" s="1"/>
  <c r="SXV53" i="7" s="1"/>
  <c r="SXW53" i="7" s="1"/>
  <c r="SXX53" i="7" s="1"/>
  <c r="SXY53" i="7" s="1"/>
  <c r="SXZ53" i="7" s="1"/>
  <c r="SYA53" i="7" s="1"/>
  <c r="SYB53" i="7" s="1"/>
  <c r="SYC53" i="7" s="1"/>
  <c r="SYD53" i="7" s="1"/>
  <c r="SYE53" i="7" s="1"/>
  <c r="SYF53" i="7" s="1"/>
  <c r="SYG53" i="7" s="1"/>
  <c r="SYH53" i="7" s="1"/>
  <c r="SYI53" i="7" s="1"/>
  <c r="SYJ53" i="7" s="1"/>
  <c r="SYK53" i="7" s="1"/>
  <c r="SYL53" i="7" s="1"/>
  <c r="SYM53" i="7" s="1"/>
  <c r="SYN53" i="7" s="1"/>
  <c r="SYO53" i="7" s="1"/>
  <c r="SYP53" i="7" s="1"/>
  <c r="SYQ53" i="7" s="1"/>
  <c r="SYR53" i="7" s="1"/>
  <c r="SYS53" i="7" s="1"/>
  <c r="SYT53" i="7" s="1"/>
  <c r="SYU53" i="7" s="1"/>
  <c r="SYV53" i="7" s="1"/>
  <c r="SYW53" i="7" s="1"/>
  <c r="SYX53" i="7" s="1"/>
  <c r="SYY53" i="7" s="1"/>
  <c r="SYZ53" i="7" s="1"/>
  <c r="SZA53" i="7" s="1"/>
  <c r="SZB53" i="7" s="1"/>
  <c r="SZC53" i="7" s="1"/>
  <c r="SZD53" i="7" s="1"/>
  <c r="SZE53" i="7" s="1"/>
  <c r="SZF53" i="7" s="1"/>
  <c r="SZG53" i="7" s="1"/>
  <c r="SZH53" i="7" s="1"/>
  <c r="SZI53" i="7" s="1"/>
  <c r="SZJ53" i="7" s="1"/>
  <c r="SZK53" i="7" s="1"/>
  <c r="SZL53" i="7" s="1"/>
  <c r="SZM53" i="7" s="1"/>
  <c r="SZN53" i="7" s="1"/>
  <c r="SZO53" i="7" s="1"/>
  <c r="SZP53" i="7" s="1"/>
  <c r="SZQ53" i="7" s="1"/>
  <c r="SZR53" i="7" s="1"/>
  <c r="SZS53" i="7" s="1"/>
  <c r="SZT53" i="7" s="1"/>
  <c r="SZU53" i="7" s="1"/>
  <c r="SZV53" i="7" s="1"/>
  <c r="SZW53" i="7" s="1"/>
  <c r="SZX53" i="7" s="1"/>
  <c r="SZY53" i="7" s="1"/>
  <c r="SZZ53" i="7" s="1"/>
  <c r="TAA53" i="7" s="1"/>
  <c r="TAB53" i="7" s="1"/>
  <c r="TAC53" i="7" s="1"/>
  <c r="TAD53" i="7" s="1"/>
  <c r="TAE53" i="7" s="1"/>
  <c r="TAF53" i="7" s="1"/>
  <c r="TAG53" i="7" s="1"/>
  <c r="TAH53" i="7" s="1"/>
  <c r="TAI53" i="7" s="1"/>
  <c r="TAJ53" i="7" s="1"/>
  <c r="TAK53" i="7" s="1"/>
  <c r="TAL53" i="7" s="1"/>
  <c r="TAM53" i="7" s="1"/>
  <c r="TAN53" i="7" s="1"/>
  <c r="TAO53" i="7" s="1"/>
  <c r="TAP53" i="7" s="1"/>
  <c r="TAQ53" i="7" s="1"/>
  <c r="TAR53" i="7" s="1"/>
  <c r="TAS53" i="7" s="1"/>
  <c r="TAT53" i="7" s="1"/>
  <c r="TAU53" i="7" s="1"/>
  <c r="TAV53" i="7" s="1"/>
  <c r="TAW53" i="7" s="1"/>
  <c r="TAX53" i="7" s="1"/>
  <c r="TAY53" i="7" s="1"/>
  <c r="TAZ53" i="7" s="1"/>
  <c r="TBA53" i="7" s="1"/>
  <c r="TBB53" i="7" s="1"/>
  <c r="TBC53" i="7" s="1"/>
  <c r="TBD53" i="7" s="1"/>
  <c r="TBE53" i="7" s="1"/>
  <c r="TBF53" i="7" s="1"/>
  <c r="TBG53" i="7" s="1"/>
  <c r="TBH53" i="7" s="1"/>
  <c r="TBI53" i="7" s="1"/>
  <c r="TBJ53" i="7" s="1"/>
  <c r="TBK53" i="7" s="1"/>
  <c r="TBL53" i="7" s="1"/>
  <c r="TBM53" i="7" s="1"/>
  <c r="TBN53" i="7" s="1"/>
  <c r="TBO53" i="7" s="1"/>
  <c r="TBP53" i="7" s="1"/>
  <c r="TBQ53" i="7" s="1"/>
  <c r="TBR53" i="7" s="1"/>
  <c r="TBS53" i="7" s="1"/>
  <c r="TBT53" i="7" s="1"/>
  <c r="TBU53" i="7" s="1"/>
  <c r="TBV53" i="7" s="1"/>
  <c r="TBW53" i="7" s="1"/>
  <c r="TBX53" i="7" s="1"/>
  <c r="TBY53" i="7" s="1"/>
  <c r="TBZ53" i="7" s="1"/>
  <c r="TCA53" i="7" s="1"/>
  <c r="TCB53" i="7" s="1"/>
  <c r="TCC53" i="7" s="1"/>
  <c r="TCD53" i="7" s="1"/>
  <c r="TCE53" i="7" s="1"/>
  <c r="TCF53" i="7" s="1"/>
  <c r="TCG53" i="7" s="1"/>
  <c r="TCH53" i="7" s="1"/>
  <c r="TCI53" i="7" s="1"/>
  <c r="TCJ53" i="7" s="1"/>
  <c r="TCK53" i="7" s="1"/>
  <c r="TCL53" i="7" s="1"/>
  <c r="TCM53" i="7" s="1"/>
  <c r="TCN53" i="7" s="1"/>
  <c r="TCO53" i="7" s="1"/>
  <c r="TCP53" i="7" s="1"/>
  <c r="TCQ53" i="7" s="1"/>
  <c r="TCR53" i="7" s="1"/>
  <c r="TCS53" i="7" s="1"/>
  <c r="TCT53" i="7" s="1"/>
  <c r="TCU53" i="7" s="1"/>
  <c r="TCV53" i="7" s="1"/>
  <c r="TCW53" i="7" s="1"/>
  <c r="TCX53" i="7" s="1"/>
  <c r="TCY53" i="7" s="1"/>
  <c r="TCZ53" i="7" s="1"/>
  <c r="TDA53" i="7" s="1"/>
  <c r="TDB53" i="7" s="1"/>
  <c r="TDC53" i="7" s="1"/>
  <c r="TDD53" i="7" s="1"/>
  <c r="TDE53" i="7" s="1"/>
  <c r="TDF53" i="7" s="1"/>
  <c r="TDG53" i="7" s="1"/>
  <c r="TDH53" i="7" s="1"/>
  <c r="TDI53" i="7" s="1"/>
  <c r="TDJ53" i="7" s="1"/>
  <c r="TDK53" i="7" s="1"/>
  <c r="TDL53" i="7" s="1"/>
  <c r="TDM53" i="7" s="1"/>
  <c r="TDN53" i="7" s="1"/>
  <c r="TDO53" i="7" s="1"/>
  <c r="TDP53" i="7" s="1"/>
  <c r="TDQ53" i="7" s="1"/>
  <c r="TDR53" i="7" s="1"/>
  <c r="TDS53" i="7" s="1"/>
  <c r="TDT53" i="7" s="1"/>
  <c r="TDU53" i="7" s="1"/>
  <c r="TDV53" i="7" s="1"/>
  <c r="TDW53" i="7" s="1"/>
  <c r="TDX53" i="7" s="1"/>
  <c r="TDY53" i="7" s="1"/>
  <c r="TDZ53" i="7" s="1"/>
  <c r="TEA53" i="7" s="1"/>
  <c r="TEB53" i="7" s="1"/>
  <c r="TEC53" i="7" s="1"/>
  <c r="TED53" i="7" s="1"/>
  <c r="TEE53" i="7" s="1"/>
  <c r="TEF53" i="7" s="1"/>
  <c r="TEG53" i="7" s="1"/>
  <c r="TEH53" i="7" s="1"/>
  <c r="TEI53" i="7" s="1"/>
  <c r="TEJ53" i="7" s="1"/>
  <c r="TEK53" i="7" s="1"/>
  <c r="TEL53" i="7" s="1"/>
  <c r="TEM53" i="7" s="1"/>
  <c r="TEN53" i="7" s="1"/>
  <c r="TEO53" i="7" s="1"/>
  <c r="TEP53" i="7" s="1"/>
  <c r="TEQ53" i="7" s="1"/>
  <c r="TER53" i="7" s="1"/>
  <c r="TES53" i="7" s="1"/>
  <c r="TET53" i="7" s="1"/>
  <c r="TEU53" i="7" s="1"/>
  <c r="TEV53" i="7" s="1"/>
  <c r="TEW53" i="7" s="1"/>
  <c r="TEX53" i="7" s="1"/>
  <c r="TEY53" i="7" s="1"/>
  <c r="TEZ53" i="7" s="1"/>
  <c r="TFA53" i="7" s="1"/>
  <c r="TFB53" i="7" s="1"/>
  <c r="TFC53" i="7" s="1"/>
  <c r="TFD53" i="7" s="1"/>
  <c r="TFE53" i="7" s="1"/>
  <c r="TFF53" i="7" s="1"/>
  <c r="TFG53" i="7" s="1"/>
  <c r="TFH53" i="7" s="1"/>
  <c r="TFI53" i="7" s="1"/>
  <c r="TFJ53" i="7" s="1"/>
  <c r="TFK53" i="7" s="1"/>
  <c r="TFL53" i="7" s="1"/>
  <c r="TFM53" i="7" s="1"/>
  <c r="TFN53" i="7" s="1"/>
  <c r="TFO53" i="7" s="1"/>
  <c r="TFP53" i="7" s="1"/>
  <c r="TFQ53" i="7" s="1"/>
  <c r="TFR53" i="7" s="1"/>
  <c r="TFS53" i="7" s="1"/>
  <c r="TFT53" i="7" s="1"/>
  <c r="TFU53" i="7" s="1"/>
  <c r="TFV53" i="7" s="1"/>
  <c r="TFW53" i="7" s="1"/>
  <c r="TFX53" i="7" s="1"/>
  <c r="TFY53" i="7" s="1"/>
  <c r="TFZ53" i="7" s="1"/>
  <c r="TGA53" i="7" s="1"/>
  <c r="TGB53" i="7" s="1"/>
  <c r="TGC53" i="7" s="1"/>
  <c r="TGD53" i="7" s="1"/>
  <c r="TGE53" i="7" s="1"/>
  <c r="TGF53" i="7" s="1"/>
  <c r="TGG53" i="7" s="1"/>
  <c r="TGH53" i="7" s="1"/>
  <c r="TGI53" i="7" s="1"/>
  <c r="TGJ53" i="7" s="1"/>
  <c r="TGK53" i="7" s="1"/>
  <c r="TGL53" i="7" s="1"/>
  <c r="TGM53" i="7" s="1"/>
  <c r="TGN53" i="7" s="1"/>
  <c r="TGO53" i="7" s="1"/>
  <c r="TGP53" i="7" s="1"/>
  <c r="TGQ53" i="7" s="1"/>
  <c r="TGR53" i="7" s="1"/>
  <c r="TGS53" i="7" s="1"/>
  <c r="TGT53" i="7" s="1"/>
  <c r="TGU53" i="7" s="1"/>
  <c r="TGV53" i="7" s="1"/>
  <c r="TGW53" i="7" s="1"/>
  <c r="TGX53" i="7" s="1"/>
  <c r="TGY53" i="7" s="1"/>
  <c r="TGZ53" i="7" s="1"/>
  <c r="THA53" i="7" s="1"/>
  <c r="THB53" i="7" s="1"/>
  <c r="THC53" i="7" s="1"/>
  <c r="THD53" i="7" s="1"/>
  <c r="THE53" i="7" s="1"/>
  <c r="THF53" i="7" s="1"/>
  <c r="THG53" i="7" s="1"/>
  <c r="THH53" i="7" s="1"/>
  <c r="THI53" i="7" s="1"/>
  <c r="THJ53" i="7" s="1"/>
  <c r="THK53" i="7" s="1"/>
  <c r="THL53" i="7" s="1"/>
  <c r="THM53" i="7" s="1"/>
  <c r="THN53" i="7" s="1"/>
  <c r="THO53" i="7" s="1"/>
  <c r="THP53" i="7" s="1"/>
  <c r="THQ53" i="7" s="1"/>
  <c r="THR53" i="7" s="1"/>
  <c r="THS53" i="7" s="1"/>
  <c r="THT53" i="7" s="1"/>
  <c r="THU53" i="7" s="1"/>
  <c r="THV53" i="7" s="1"/>
  <c r="THW53" i="7" s="1"/>
  <c r="THX53" i="7" s="1"/>
  <c r="THY53" i="7" s="1"/>
  <c r="THZ53" i="7" s="1"/>
  <c r="TIA53" i="7" s="1"/>
  <c r="TIB53" i="7" s="1"/>
  <c r="TIC53" i="7" s="1"/>
  <c r="TID53" i="7" s="1"/>
  <c r="TIE53" i="7" s="1"/>
  <c r="TIF53" i="7" s="1"/>
  <c r="TIG53" i="7" s="1"/>
  <c r="TIH53" i="7" s="1"/>
  <c r="TII53" i="7" s="1"/>
  <c r="TIJ53" i="7" s="1"/>
  <c r="TIK53" i="7" s="1"/>
  <c r="TIL53" i="7" s="1"/>
  <c r="TIM53" i="7" s="1"/>
  <c r="TIN53" i="7" s="1"/>
  <c r="TIO53" i="7" s="1"/>
  <c r="TIP53" i="7" s="1"/>
  <c r="TIQ53" i="7" s="1"/>
  <c r="TIR53" i="7" s="1"/>
  <c r="TIS53" i="7" s="1"/>
  <c r="TIT53" i="7" s="1"/>
  <c r="TIU53" i="7" s="1"/>
  <c r="TIV53" i="7" s="1"/>
  <c r="TIW53" i="7" s="1"/>
  <c r="TIX53" i="7" s="1"/>
  <c r="TIY53" i="7" s="1"/>
  <c r="TIZ53" i="7" s="1"/>
  <c r="TJA53" i="7" s="1"/>
  <c r="TJB53" i="7" s="1"/>
  <c r="TJC53" i="7" s="1"/>
  <c r="TJD53" i="7" s="1"/>
  <c r="TJE53" i="7" s="1"/>
  <c r="TJF53" i="7" s="1"/>
  <c r="TJG53" i="7" s="1"/>
  <c r="TJH53" i="7" s="1"/>
  <c r="TJI53" i="7" s="1"/>
  <c r="TJJ53" i="7" s="1"/>
  <c r="TJK53" i="7" s="1"/>
  <c r="TJL53" i="7" s="1"/>
  <c r="TJM53" i="7" s="1"/>
  <c r="TJN53" i="7" s="1"/>
  <c r="TJO53" i="7" s="1"/>
  <c r="TJP53" i="7" s="1"/>
  <c r="TJQ53" i="7" s="1"/>
  <c r="TJR53" i="7" s="1"/>
  <c r="TJS53" i="7" s="1"/>
  <c r="TJT53" i="7" s="1"/>
  <c r="TJU53" i="7" s="1"/>
  <c r="TJV53" i="7" s="1"/>
  <c r="TJW53" i="7" s="1"/>
  <c r="TJX53" i="7" s="1"/>
  <c r="TJY53" i="7" s="1"/>
  <c r="TJZ53" i="7" s="1"/>
  <c r="TKA53" i="7" s="1"/>
  <c r="TKB53" i="7" s="1"/>
  <c r="TKC53" i="7" s="1"/>
  <c r="TKD53" i="7" s="1"/>
  <c r="TKE53" i="7" s="1"/>
  <c r="TKF53" i="7" s="1"/>
  <c r="TKG53" i="7" s="1"/>
  <c r="TKH53" i="7" s="1"/>
  <c r="TKI53" i="7" s="1"/>
  <c r="TKJ53" i="7" s="1"/>
  <c r="TKK53" i="7" s="1"/>
  <c r="TKL53" i="7" s="1"/>
  <c r="TKM53" i="7" s="1"/>
  <c r="TKN53" i="7" s="1"/>
  <c r="TKO53" i="7" s="1"/>
  <c r="TKP53" i="7" s="1"/>
  <c r="TKQ53" i="7" s="1"/>
  <c r="TKR53" i="7" s="1"/>
  <c r="TKS53" i="7" s="1"/>
  <c r="TKT53" i="7" s="1"/>
  <c r="TKU53" i="7" s="1"/>
  <c r="TKV53" i="7" s="1"/>
  <c r="TKW53" i="7" s="1"/>
  <c r="TKX53" i="7" s="1"/>
  <c r="TKY53" i="7" s="1"/>
  <c r="TKZ53" i="7" s="1"/>
  <c r="TLA53" i="7" s="1"/>
  <c r="TLB53" i="7" s="1"/>
  <c r="TLC53" i="7" s="1"/>
  <c r="TLD53" i="7" s="1"/>
  <c r="TLE53" i="7" s="1"/>
  <c r="TLF53" i="7" s="1"/>
  <c r="TLG53" i="7" s="1"/>
  <c r="TLH53" i="7" s="1"/>
  <c r="TLI53" i="7" s="1"/>
  <c r="TLJ53" i="7" s="1"/>
  <c r="TLK53" i="7" s="1"/>
  <c r="TLL53" i="7" s="1"/>
  <c r="TLM53" i="7" s="1"/>
  <c r="TLN53" i="7" s="1"/>
  <c r="TLO53" i="7" s="1"/>
  <c r="TLP53" i="7" s="1"/>
  <c r="TLQ53" i="7" s="1"/>
  <c r="TLR53" i="7" s="1"/>
  <c r="TLS53" i="7" s="1"/>
  <c r="TLT53" i="7" s="1"/>
  <c r="TLU53" i="7" s="1"/>
  <c r="TLV53" i="7" s="1"/>
  <c r="TLW53" i="7" s="1"/>
  <c r="TLX53" i="7" s="1"/>
  <c r="TLY53" i="7" s="1"/>
  <c r="TLZ53" i="7" s="1"/>
  <c r="TMA53" i="7" s="1"/>
  <c r="TMB53" i="7" s="1"/>
  <c r="TMC53" i="7" s="1"/>
  <c r="TMD53" i="7" s="1"/>
  <c r="TME53" i="7" s="1"/>
  <c r="TMF53" i="7" s="1"/>
  <c r="TMG53" i="7" s="1"/>
  <c r="TMH53" i="7" s="1"/>
  <c r="TMI53" i="7" s="1"/>
  <c r="TMJ53" i="7" s="1"/>
  <c r="TMK53" i="7" s="1"/>
  <c r="TML53" i="7" s="1"/>
  <c r="TMM53" i="7" s="1"/>
  <c r="TMN53" i="7" s="1"/>
  <c r="TMO53" i="7" s="1"/>
  <c r="TMP53" i="7" s="1"/>
  <c r="TMQ53" i="7" s="1"/>
  <c r="TMR53" i="7" s="1"/>
  <c r="TMS53" i="7" s="1"/>
  <c r="TMT53" i="7" s="1"/>
  <c r="TMU53" i="7" s="1"/>
  <c r="TMV53" i="7" s="1"/>
  <c r="TMW53" i="7" s="1"/>
  <c r="TMX53" i="7" s="1"/>
  <c r="TMY53" i="7" s="1"/>
  <c r="TMZ53" i="7" s="1"/>
  <c r="TNA53" i="7" s="1"/>
  <c r="TNB53" i="7" s="1"/>
  <c r="TNC53" i="7" s="1"/>
  <c r="TND53" i="7" s="1"/>
  <c r="TNE53" i="7" s="1"/>
  <c r="TNF53" i="7" s="1"/>
  <c r="TNG53" i="7" s="1"/>
  <c r="TNH53" i="7" s="1"/>
  <c r="TNI53" i="7" s="1"/>
  <c r="TNJ53" i="7" s="1"/>
  <c r="TNK53" i="7" s="1"/>
  <c r="TNL53" i="7" s="1"/>
  <c r="TNM53" i="7" s="1"/>
  <c r="TNN53" i="7" s="1"/>
  <c r="TNO53" i="7" s="1"/>
  <c r="TNP53" i="7" s="1"/>
  <c r="TNQ53" i="7" s="1"/>
  <c r="TNR53" i="7" s="1"/>
  <c r="TNS53" i="7" s="1"/>
  <c r="TNT53" i="7" s="1"/>
  <c r="TNU53" i="7" s="1"/>
  <c r="TNV53" i="7" s="1"/>
  <c r="TNW53" i="7" s="1"/>
  <c r="TNX53" i="7" s="1"/>
  <c r="TNY53" i="7" s="1"/>
  <c r="TNZ53" i="7" s="1"/>
  <c r="TOA53" i="7" s="1"/>
  <c r="TOB53" i="7" s="1"/>
  <c r="TOC53" i="7" s="1"/>
  <c r="TOD53" i="7" s="1"/>
  <c r="TOE53" i="7" s="1"/>
  <c r="TOF53" i="7" s="1"/>
  <c r="TOG53" i="7" s="1"/>
  <c r="TOH53" i="7" s="1"/>
  <c r="TOI53" i="7" s="1"/>
  <c r="TOJ53" i="7" s="1"/>
  <c r="TOK53" i="7" s="1"/>
  <c r="TOL53" i="7" s="1"/>
  <c r="TOM53" i="7" s="1"/>
  <c r="TON53" i="7" s="1"/>
  <c r="TOO53" i="7" s="1"/>
  <c r="TOP53" i="7" s="1"/>
  <c r="TOQ53" i="7" s="1"/>
  <c r="TOR53" i="7" s="1"/>
  <c r="TOS53" i="7" s="1"/>
  <c r="TOT53" i="7" s="1"/>
  <c r="TOU53" i="7" s="1"/>
  <c r="TOV53" i="7" s="1"/>
  <c r="TOW53" i="7" s="1"/>
  <c r="TOX53" i="7" s="1"/>
  <c r="TOY53" i="7" s="1"/>
  <c r="TOZ53" i="7" s="1"/>
  <c r="TPA53" i="7" s="1"/>
  <c r="TPB53" i="7" s="1"/>
  <c r="TPC53" i="7" s="1"/>
  <c r="TPD53" i="7" s="1"/>
  <c r="TPE53" i="7" s="1"/>
  <c r="TPF53" i="7" s="1"/>
  <c r="TPG53" i="7" s="1"/>
  <c r="TPH53" i="7" s="1"/>
  <c r="TPI53" i="7" s="1"/>
  <c r="TPJ53" i="7" s="1"/>
  <c r="TPK53" i="7" s="1"/>
  <c r="TPL53" i="7" s="1"/>
  <c r="TPM53" i="7" s="1"/>
  <c r="TPN53" i="7" s="1"/>
  <c r="TPO53" i="7" s="1"/>
  <c r="TPP53" i="7" s="1"/>
  <c r="TPQ53" i="7" s="1"/>
  <c r="TPR53" i="7" s="1"/>
  <c r="TPS53" i="7" s="1"/>
  <c r="TPT53" i="7" s="1"/>
  <c r="TPU53" i="7" s="1"/>
  <c r="TPV53" i="7" s="1"/>
  <c r="TPW53" i="7" s="1"/>
  <c r="TPX53" i="7" s="1"/>
  <c r="TPY53" i="7" s="1"/>
  <c r="TPZ53" i="7" s="1"/>
  <c r="TQA53" i="7" s="1"/>
  <c r="TQB53" i="7" s="1"/>
  <c r="TQC53" i="7" s="1"/>
  <c r="TQD53" i="7" s="1"/>
  <c r="TQE53" i="7" s="1"/>
  <c r="TQF53" i="7" s="1"/>
  <c r="TQG53" i="7" s="1"/>
  <c r="TQH53" i="7" s="1"/>
  <c r="TQI53" i="7" s="1"/>
  <c r="TQJ53" i="7" s="1"/>
  <c r="TQK53" i="7" s="1"/>
  <c r="TQL53" i="7" s="1"/>
  <c r="TQM53" i="7" s="1"/>
  <c r="TQN53" i="7" s="1"/>
  <c r="TQO53" i="7" s="1"/>
  <c r="TQP53" i="7" s="1"/>
  <c r="TQQ53" i="7" s="1"/>
  <c r="TQR53" i="7" s="1"/>
  <c r="TQS53" i="7" s="1"/>
  <c r="TQT53" i="7" s="1"/>
  <c r="TQU53" i="7" s="1"/>
  <c r="TQV53" i="7" s="1"/>
  <c r="TQW53" i="7" s="1"/>
  <c r="TQX53" i="7" s="1"/>
  <c r="TQY53" i="7" s="1"/>
  <c r="TQZ53" i="7" s="1"/>
  <c r="TRA53" i="7" s="1"/>
  <c r="TRB53" i="7" s="1"/>
  <c r="TRC53" i="7" s="1"/>
  <c r="TRD53" i="7" s="1"/>
  <c r="TRE53" i="7" s="1"/>
  <c r="TRF53" i="7" s="1"/>
  <c r="TRG53" i="7" s="1"/>
  <c r="TRH53" i="7" s="1"/>
  <c r="TRI53" i="7" s="1"/>
  <c r="TRJ53" i="7" s="1"/>
  <c r="TRK53" i="7" s="1"/>
  <c r="TRL53" i="7" s="1"/>
  <c r="TRM53" i="7" s="1"/>
  <c r="TRN53" i="7" s="1"/>
  <c r="TRO53" i="7" s="1"/>
  <c r="TRP53" i="7" s="1"/>
  <c r="TRQ53" i="7" s="1"/>
  <c r="TRR53" i="7" s="1"/>
  <c r="TRS53" i="7" s="1"/>
  <c r="TRT53" i="7" s="1"/>
  <c r="TRU53" i="7" s="1"/>
  <c r="TRV53" i="7" s="1"/>
  <c r="TRW53" i="7" s="1"/>
  <c r="TRX53" i="7" s="1"/>
  <c r="TRY53" i="7" s="1"/>
  <c r="TRZ53" i="7" s="1"/>
  <c r="TSA53" i="7" s="1"/>
  <c r="TSB53" i="7" s="1"/>
  <c r="TSC53" i="7" s="1"/>
  <c r="TSD53" i="7" s="1"/>
  <c r="TSE53" i="7" s="1"/>
  <c r="TSF53" i="7" s="1"/>
  <c r="TSG53" i="7" s="1"/>
  <c r="TSH53" i="7" s="1"/>
  <c r="TSI53" i="7" s="1"/>
  <c r="TSJ53" i="7" s="1"/>
  <c r="TSK53" i="7" s="1"/>
  <c r="TSL53" i="7" s="1"/>
  <c r="TSM53" i="7" s="1"/>
  <c r="TSN53" i="7" s="1"/>
  <c r="TSO53" i="7" s="1"/>
  <c r="TSP53" i="7" s="1"/>
  <c r="TSQ53" i="7" s="1"/>
  <c r="TSR53" i="7" s="1"/>
  <c r="TSS53" i="7" s="1"/>
  <c r="TST53" i="7" s="1"/>
  <c r="TSU53" i="7" s="1"/>
  <c r="TSV53" i="7" s="1"/>
  <c r="TSW53" i="7" s="1"/>
  <c r="TSX53" i="7" s="1"/>
  <c r="TSY53" i="7" s="1"/>
  <c r="TSZ53" i="7" s="1"/>
  <c r="TTA53" i="7" s="1"/>
  <c r="TTB53" i="7" s="1"/>
  <c r="TTC53" i="7" s="1"/>
  <c r="TTD53" i="7" s="1"/>
  <c r="TTE53" i="7" s="1"/>
  <c r="TTF53" i="7" s="1"/>
  <c r="TTG53" i="7" s="1"/>
  <c r="TTH53" i="7" s="1"/>
  <c r="TTI53" i="7" s="1"/>
  <c r="TTJ53" i="7" s="1"/>
  <c r="TTK53" i="7" s="1"/>
  <c r="TTL53" i="7" s="1"/>
  <c r="TTM53" i="7" s="1"/>
  <c r="TTN53" i="7" s="1"/>
  <c r="TTO53" i="7" s="1"/>
  <c r="TTP53" i="7" s="1"/>
  <c r="TTQ53" i="7" s="1"/>
  <c r="TTR53" i="7" s="1"/>
  <c r="TTS53" i="7" s="1"/>
  <c r="TTT53" i="7" s="1"/>
  <c r="TTU53" i="7" s="1"/>
  <c r="TTV53" i="7" s="1"/>
  <c r="TTW53" i="7" s="1"/>
  <c r="TTX53" i="7" s="1"/>
  <c r="TTY53" i="7" s="1"/>
  <c r="TTZ53" i="7" s="1"/>
  <c r="TUA53" i="7" s="1"/>
  <c r="TUB53" i="7" s="1"/>
  <c r="TUC53" i="7" s="1"/>
  <c r="TUD53" i="7" s="1"/>
  <c r="TUE53" i="7" s="1"/>
  <c r="TUF53" i="7" s="1"/>
  <c r="TUG53" i="7" s="1"/>
  <c r="TUH53" i="7" s="1"/>
  <c r="TUI53" i="7" s="1"/>
  <c r="TUJ53" i="7" s="1"/>
  <c r="TUK53" i="7" s="1"/>
  <c r="TUL53" i="7" s="1"/>
  <c r="TUM53" i="7" s="1"/>
  <c r="TUN53" i="7" s="1"/>
  <c r="TUO53" i="7" s="1"/>
  <c r="TUP53" i="7" s="1"/>
  <c r="TUQ53" i="7" s="1"/>
  <c r="TUR53" i="7" s="1"/>
  <c r="TUS53" i="7" s="1"/>
  <c r="TUT53" i="7" s="1"/>
  <c r="TUU53" i="7" s="1"/>
  <c r="TUV53" i="7" s="1"/>
  <c r="TUW53" i="7" s="1"/>
  <c r="TUX53" i="7" s="1"/>
  <c r="TUY53" i="7" s="1"/>
  <c r="TUZ53" i="7" s="1"/>
  <c r="TVA53" i="7" s="1"/>
  <c r="TVB53" i="7" s="1"/>
  <c r="TVC53" i="7" s="1"/>
  <c r="TVD53" i="7" s="1"/>
  <c r="TVE53" i="7" s="1"/>
  <c r="TVF53" i="7" s="1"/>
  <c r="TVG53" i="7" s="1"/>
  <c r="TVH53" i="7" s="1"/>
  <c r="TVI53" i="7" s="1"/>
  <c r="TVJ53" i="7" s="1"/>
  <c r="TVK53" i="7" s="1"/>
  <c r="TVL53" i="7" s="1"/>
  <c r="TVM53" i="7" s="1"/>
  <c r="TVN53" i="7" s="1"/>
  <c r="TVO53" i="7" s="1"/>
  <c r="TVP53" i="7" s="1"/>
  <c r="TVQ53" i="7" s="1"/>
  <c r="TVR53" i="7" s="1"/>
  <c r="TVS53" i="7" s="1"/>
  <c r="TVT53" i="7" s="1"/>
  <c r="TVU53" i="7" s="1"/>
  <c r="TVV53" i="7" s="1"/>
  <c r="TVW53" i="7" s="1"/>
  <c r="TVX53" i="7" s="1"/>
  <c r="TVY53" i="7" s="1"/>
  <c r="TVZ53" i="7" s="1"/>
  <c r="TWA53" i="7" s="1"/>
  <c r="TWB53" i="7" s="1"/>
  <c r="TWC53" i="7" s="1"/>
  <c r="TWD53" i="7" s="1"/>
  <c r="TWE53" i="7" s="1"/>
  <c r="TWF53" i="7" s="1"/>
  <c r="TWG53" i="7" s="1"/>
  <c r="TWH53" i="7" s="1"/>
  <c r="TWI53" i="7" s="1"/>
  <c r="TWJ53" i="7" s="1"/>
  <c r="TWK53" i="7" s="1"/>
  <c r="TWL53" i="7" s="1"/>
  <c r="TWM53" i="7" s="1"/>
  <c r="TWN53" i="7" s="1"/>
  <c r="TWO53" i="7" s="1"/>
  <c r="TWP53" i="7" s="1"/>
  <c r="TWQ53" i="7" s="1"/>
  <c r="TWR53" i="7" s="1"/>
  <c r="TWS53" i="7" s="1"/>
  <c r="TWT53" i="7" s="1"/>
  <c r="TWU53" i="7" s="1"/>
  <c r="TWV53" i="7" s="1"/>
  <c r="TWW53" i="7" s="1"/>
  <c r="TWX53" i="7" s="1"/>
  <c r="TWY53" i="7" s="1"/>
  <c r="TWZ53" i="7" s="1"/>
  <c r="TXA53" i="7" s="1"/>
  <c r="TXB53" i="7" s="1"/>
  <c r="TXC53" i="7" s="1"/>
  <c r="TXD53" i="7" s="1"/>
  <c r="TXE53" i="7" s="1"/>
  <c r="TXF53" i="7" s="1"/>
  <c r="TXG53" i="7" s="1"/>
  <c r="TXH53" i="7" s="1"/>
  <c r="TXI53" i="7" s="1"/>
  <c r="TXJ53" i="7" s="1"/>
  <c r="TXK53" i="7" s="1"/>
  <c r="TXL53" i="7" s="1"/>
  <c r="TXM53" i="7" s="1"/>
  <c r="TXN53" i="7" s="1"/>
  <c r="TXO53" i="7" s="1"/>
  <c r="TXP53" i="7" s="1"/>
  <c r="TXQ53" i="7" s="1"/>
  <c r="TXR53" i="7" s="1"/>
  <c r="TXS53" i="7" s="1"/>
  <c r="TXT53" i="7" s="1"/>
  <c r="TXU53" i="7" s="1"/>
  <c r="TXV53" i="7" s="1"/>
  <c r="TXW53" i="7" s="1"/>
  <c r="TXX53" i="7" s="1"/>
  <c r="TXY53" i="7" s="1"/>
  <c r="TXZ53" i="7" s="1"/>
  <c r="TYA53" i="7" s="1"/>
  <c r="TYB53" i="7" s="1"/>
  <c r="TYC53" i="7" s="1"/>
  <c r="TYD53" i="7" s="1"/>
  <c r="TYE53" i="7" s="1"/>
  <c r="TYF53" i="7" s="1"/>
  <c r="TYG53" i="7" s="1"/>
  <c r="TYH53" i="7" s="1"/>
  <c r="TYI53" i="7" s="1"/>
  <c r="TYJ53" i="7" s="1"/>
  <c r="TYK53" i="7" s="1"/>
  <c r="TYL53" i="7" s="1"/>
  <c r="TYM53" i="7" s="1"/>
  <c r="TYN53" i="7" s="1"/>
  <c r="TYO53" i="7" s="1"/>
  <c r="TYP53" i="7" s="1"/>
  <c r="TYQ53" i="7" s="1"/>
  <c r="TYR53" i="7" s="1"/>
  <c r="TYS53" i="7" s="1"/>
  <c r="TYT53" i="7" s="1"/>
  <c r="TYU53" i="7" s="1"/>
  <c r="TYV53" i="7" s="1"/>
  <c r="TYW53" i="7" s="1"/>
  <c r="TYX53" i="7" s="1"/>
  <c r="TYY53" i="7" s="1"/>
  <c r="TYZ53" i="7" s="1"/>
  <c r="TZA53" i="7" s="1"/>
  <c r="TZB53" i="7" s="1"/>
  <c r="TZC53" i="7" s="1"/>
  <c r="TZD53" i="7" s="1"/>
  <c r="TZE53" i="7" s="1"/>
  <c r="TZF53" i="7" s="1"/>
  <c r="TZG53" i="7" s="1"/>
  <c r="TZH53" i="7" s="1"/>
  <c r="TZI53" i="7" s="1"/>
  <c r="TZJ53" i="7" s="1"/>
  <c r="TZK53" i="7" s="1"/>
  <c r="TZL53" i="7" s="1"/>
  <c r="TZM53" i="7" s="1"/>
  <c r="TZN53" i="7" s="1"/>
  <c r="TZO53" i="7" s="1"/>
  <c r="TZP53" i="7" s="1"/>
  <c r="TZQ53" i="7" s="1"/>
  <c r="TZR53" i="7" s="1"/>
  <c r="TZS53" i="7" s="1"/>
  <c r="TZT53" i="7" s="1"/>
  <c r="TZU53" i="7" s="1"/>
  <c r="TZV53" i="7" s="1"/>
  <c r="TZW53" i="7" s="1"/>
  <c r="TZX53" i="7" s="1"/>
  <c r="TZY53" i="7" s="1"/>
  <c r="TZZ53" i="7" s="1"/>
  <c r="UAA53" i="7" s="1"/>
  <c r="UAB53" i="7" s="1"/>
  <c r="UAC53" i="7" s="1"/>
  <c r="UAD53" i="7" s="1"/>
  <c r="UAE53" i="7" s="1"/>
  <c r="UAF53" i="7" s="1"/>
  <c r="UAG53" i="7" s="1"/>
  <c r="UAH53" i="7" s="1"/>
  <c r="UAI53" i="7" s="1"/>
  <c r="UAJ53" i="7" s="1"/>
  <c r="UAK53" i="7" s="1"/>
  <c r="UAL53" i="7" s="1"/>
  <c r="UAM53" i="7" s="1"/>
  <c r="UAN53" i="7" s="1"/>
  <c r="UAO53" i="7" s="1"/>
  <c r="UAP53" i="7" s="1"/>
  <c r="UAQ53" i="7" s="1"/>
  <c r="UAR53" i="7" s="1"/>
  <c r="UAS53" i="7" s="1"/>
  <c r="UAT53" i="7" s="1"/>
  <c r="UAU53" i="7" s="1"/>
  <c r="UAV53" i="7" s="1"/>
  <c r="UAW53" i="7" s="1"/>
  <c r="UAX53" i="7" s="1"/>
  <c r="UAY53" i="7" s="1"/>
  <c r="UAZ53" i="7" s="1"/>
  <c r="UBA53" i="7" s="1"/>
  <c r="UBB53" i="7" s="1"/>
  <c r="UBC53" i="7" s="1"/>
  <c r="UBD53" i="7" s="1"/>
  <c r="UBE53" i="7" s="1"/>
  <c r="UBF53" i="7" s="1"/>
  <c r="UBG53" i="7" s="1"/>
  <c r="UBH53" i="7" s="1"/>
  <c r="UBI53" i="7" s="1"/>
  <c r="UBJ53" i="7" s="1"/>
  <c r="UBK53" i="7" s="1"/>
  <c r="UBL53" i="7" s="1"/>
  <c r="UBM53" i="7" s="1"/>
  <c r="UBN53" i="7" s="1"/>
  <c r="UBO53" i="7" s="1"/>
  <c r="UBP53" i="7" s="1"/>
  <c r="UBQ53" i="7" s="1"/>
  <c r="UBR53" i="7" s="1"/>
  <c r="UBS53" i="7" s="1"/>
  <c r="UBT53" i="7" s="1"/>
  <c r="UBU53" i="7" s="1"/>
  <c r="UBV53" i="7" s="1"/>
  <c r="UBW53" i="7" s="1"/>
  <c r="UBX53" i="7" s="1"/>
  <c r="UBY53" i="7" s="1"/>
  <c r="UBZ53" i="7" s="1"/>
  <c r="UCA53" i="7" s="1"/>
  <c r="UCB53" i="7" s="1"/>
  <c r="UCC53" i="7" s="1"/>
  <c r="UCD53" i="7" s="1"/>
  <c r="UCE53" i="7" s="1"/>
  <c r="UCF53" i="7" s="1"/>
  <c r="UCG53" i="7" s="1"/>
  <c r="UCH53" i="7" s="1"/>
  <c r="UCI53" i="7" s="1"/>
  <c r="UCJ53" i="7" s="1"/>
  <c r="UCK53" i="7" s="1"/>
  <c r="UCL53" i="7" s="1"/>
  <c r="UCM53" i="7" s="1"/>
  <c r="UCN53" i="7" s="1"/>
  <c r="UCO53" i="7" s="1"/>
  <c r="UCP53" i="7" s="1"/>
  <c r="UCQ53" i="7" s="1"/>
  <c r="UCR53" i="7" s="1"/>
  <c r="UCS53" i="7" s="1"/>
  <c r="UCT53" i="7" s="1"/>
  <c r="UCU53" i="7" s="1"/>
  <c r="UCV53" i="7" s="1"/>
  <c r="UCW53" i="7" s="1"/>
  <c r="UCX53" i="7" s="1"/>
  <c r="UCY53" i="7" s="1"/>
  <c r="UCZ53" i="7" s="1"/>
  <c r="UDA53" i="7" s="1"/>
  <c r="UDB53" i="7" s="1"/>
  <c r="UDC53" i="7" s="1"/>
  <c r="UDD53" i="7" s="1"/>
  <c r="UDE53" i="7" s="1"/>
  <c r="UDF53" i="7" s="1"/>
  <c r="UDG53" i="7" s="1"/>
  <c r="UDH53" i="7" s="1"/>
  <c r="UDI53" i="7" s="1"/>
  <c r="UDJ53" i="7" s="1"/>
  <c r="UDK53" i="7" s="1"/>
  <c r="UDL53" i="7" s="1"/>
  <c r="UDM53" i="7" s="1"/>
  <c r="UDN53" i="7" s="1"/>
  <c r="UDO53" i="7" s="1"/>
  <c r="UDP53" i="7" s="1"/>
  <c r="UDQ53" i="7" s="1"/>
  <c r="UDR53" i="7" s="1"/>
  <c r="UDS53" i="7" s="1"/>
  <c r="UDT53" i="7" s="1"/>
  <c r="UDU53" i="7" s="1"/>
  <c r="UDV53" i="7" s="1"/>
  <c r="UDW53" i="7" s="1"/>
  <c r="UDX53" i="7" s="1"/>
  <c r="UDY53" i="7" s="1"/>
  <c r="UDZ53" i="7" s="1"/>
  <c r="UEA53" i="7" s="1"/>
  <c r="UEB53" i="7" s="1"/>
  <c r="UEC53" i="7" s="1"/>
  <c r="UED53" i="7" s="1"/>
  <c r="UEE53" i="7" s="1"/>
  <c r="UEF53" i="7" s="1"/>
  <c r="UEG53" i="7" s="1"/>
  <c r="UEH53" i="7" s="1"/>
  <c r="UEI53" i="7" s="1"/>
  <c r="UEJ53" i="7" s="1"/>
  <c r="UEK53" i="7" s="1"/>
  <c r="UEL53" i="7" s="1"/>
  <c r="UEM53" i="7" s="1"/>
  <c r="UEN53" i="7" s="1"/>
  <c r="UEO53" i="7" s="1"/>
  <c r="UEP53" i="7" s="1"/>
  <c r="UEQ53" i="7" s="1"/>
  <c r="UER53" i="7" s="1"/>
  <c r="UES53" i="7" s="1"/>
  <c r="UET53" i="7" s="1"/>
  <c r="UEU53" i="7" s="1"/>
  <c r="UEV53" i="7" s="1"/>
  <c r="UEW53" i="7" s="1"/>
  <c r="UEX53" i="7" s="1"/>
  <c r="UEY53" i="7" s="1"/>
  <c r="UEZ53" i="7" s="1"/>
  <c r="UFA53" i="7" s="1"/>
  <c r="UFB53" i="7" s="1"/>
  <c r="UFC53" i="7" s="1"/>
  <c r="UFD53" i="7" s="1"/>
  <c r="UFE53" i="7" s="1"/>
  <c r="UFF53" i="7" s="1"/>
  <c r="UFG53" i="7" s="1"/>
  <c r="UFH53" i="7" s="1"/>
  <c r="UFI53" i="7" s="1"/>
  <c r="UFJ53" i="7" s="1"/>
  <c r="UFK53" i="7" s="1"/>
  <c r="UFL53" i="7" s="1"/>
  <c r="UFM53" i="7" s="1"/>
  <c r="UFN53" i="7" s="1"/>
  <c r="UFO53" i="7" s="1"/>
  <c r="UFP53" i="7" s="1"/>
  <c r="UFQ53" i="7" s="1"/>
  <c r="UFR53" i="7" s="1"/>
  <c r="UFS53" i="7" s="1"/>
  <c r="UFT53" i="7" s="1"/>
  <c r="UFU53" i="7" s="1"/>
  <c r="UFV53" i="7" s="1"/>
  <c r="UFW53" i="7" s="1"/>
  <c r="UFX53" i="7" s="1"/>
  <c r="UFY53" i="7" s="1"/>
  <c r="UFZ53" i="7" s="1"/>
  <c r="UGA53" i="7" s="1"/>
  <c r="UGB53" i="7" s="1"/>
  <c r="UGC53" i="7" s="1"/>
  <c r="UGD53" i="7" s="1"/>
  <c r="UGE53" i="7" s="1"/>
  <c r="UGF53" i="7" s="1"/>
  <c r="UGG53" i="7" s="1"/>
  <c r="UGH53" i="7" s="1"/>
  <c r="UGI53" i="7" s="1"/>
  <c r="UGJ53" i="7" s="1"/>
  <c r="UGK53" i="7" s="1"/>
  <c r="UGL53" i="7" s="1"/>
  <c r="UGM53" i="7" s="1"/>
  <c r="UGN53" i="7" s="1"/>
  <c r="UGO53" i="7" s="1"/>
  <c r="UGP53" i="7" s="1"/>
  <c r="UGQ53" i="7" s="1"/>
  <c r="UGR53" i="7" s="1"/>
  <c r="UGS53" i="7" s="1"/>
  <c r="UGT53" i="7" s="1"/>
  <c r="UGU53" i="7" s="1"/>
  <c r="UGV53" i="7" s="1"/>
  <c r="UGW53" i="7" s="1"/>
  <c r="UGX53" i="7" s="1"/>
  <c r="UGY53" i="7" s="1"/>
  <c r="UGZ53" i="7" s="1"/>
  <c r="UHA53" i="7" s="1"/>
  <c r="UHB53" i="7" s="1"/>
  <c r="UHC53" i="7" s="1"/>
  <c r="UHD53" i="7" s="1"/>
  <c r="UHE53" i="7" s="1"/>
  <c r="UHF53" i="7" s="1"/>
  <c r="UHG53" i="7" s="1"/>
  <c r="UHH53" i="7" s="1"/>
  <c r="UHI53" i="7" s="1"/>
  <c r="UHJ53" i="7" s="1"/>
  <c r="UHK53" i="7" s="1"/>
  <c r="UHL53" i="7" s="1"/>
  <c r="UHM53" i="7" s="1"/>
  <c r="UHN53" i="7" s="1"/>
  <c r="UHO53" i="7" s="1"/>
  <c r="UHP53" i="7" s="1"/>
  <c r="UHQ53" i="7" s="1"/>
  <c r="UHR53" i="7" s="1"/>
  <c r="UHS53" i="7" s="1"/>
  <c r="UHT53" i="7" s="1"/>
  <c r="UHU53" i="7" s="1"/>
  <c r="UHV53" i="7" s="1"/>
  <c r="UHW53" i="7" s="1"/>
  <c r="UHX53" i="7" s="1"/>
  <c r="UHY53" i="7" s="1"/>
  <c r="UHZ53" i="7" s="1"/>
  <c r="UIA53" i="7" s="1"/>
  <c r="UIB53" i="7" s="1"/>
  <c r="UIC53" i="7" s="1"/>
  <c r="UID53" i="7" s="1"/>
  <c r="UIE53" i="7" s="1"/>
  <c r="UIF53" i="7" s="1"/>
  <c r="UIG53" i="7" s="1"/>
  <c r="UIH53" i="7" s="1"/>
  <c r="UII53" i="7" s="1"/>
  <c r="UIJ53" i="7" s="1"/>
  <c r="UIK53" i="7" s="1"/>
  <c r="UIL53" i="7" s="1"/>
  <c r="UIM53" i="7" s="1"/>
  <c r="UIN53" i="7" s="1"/>
  <c r="UIO53" i="7" s="1"/>
  <c r="UIP53" i="7" s="1"/>
  <c r="UIQ53" i="7" s="1"/>
  <c r="UIR53" i="7" s="1"/>
  <c r="UIS53" i="7" s="1"/>
  <c r="UIT53" i="7" s="1"/>
  <c r="UIU53" i="7" s="1"/>
  <c r="UIV53" i="7" s="1"/>
  <c r="UIW53" i="7" s="1"/>
  <c r="UIX53" i="7" s="1"/>
  <c r="UIY53" i="7" s="1"/>
  <c r="UIZ53" i="7" s="1"/>
  <c r="UJA53" i="7" s="1"/>
  <c r="UJB53" i="7" s="1"/>
  <c r="UJC53" i="7" s="1"/>
  <c r="UJD53" i="7" s="1"/>
  <c r="UJE53" i="7" s="1"/>
  <c r="UJF53" i="7" s="1"/>
  <c r="UJG53" i="7" s="1"/>
  <c r="UJH53" i="7" s="1"/>
  <c r="UJI53" i="7" s="1"/>
  <c r="UJJ53" i="7" s="1"/>
  <c r="UJK53" i="7" s="1"/>
  <c r="UJL53" i="7" s="1"/>
  <c r="UJM53" i="7" s="1"/>
  <c r="UJN53" i="7" s="1"/>
  <c r="UJO53" i="7" s="1"/>
  <c r="UJP53" i="7" s="1"/>
  <c r="UJQ53" i="7" s="1"/>
  <c r="UJR53" i="7" s="1"/>
  <c r="UJS53" i="7" s="1"/>
  <c r="UJT53" i="7" s="1"/>
  <c r="UJU53" i="7" s="1"/>
  <c r="UJV53" i="7" s="1"/>
  <c r="UJW53" i="7" s="1"/>
  <c r="UJX53" i="7" s="1"/>
  <c r="UJY53" i="7" s="1"/>
  <c r="UJZ53" i="7" s="1"/>
  <c r="UKA53" i="7" s="1"/>
  <c r="UKB53" i="7" s="1"/>
  <c r="UKC53" i="7" s="1"/>
  <c r="UKD53" i="7" s="1"/>
  <c r="UKE53" i="7" s="1"/>
  <c r="UKF53" i="7" s="1"/>
  <c r="UKG53" i="7" s="1"/>
  <c r="UKH53" i="7" s="1"/>
  <c r="UKI53" i="7" s="1"/>
  <c r="UKJ53" i="7" s="1"/>
  <c r="UKK53" i="7" s="1"/>
  <c r="UKL53" i="7" s="1"/>
  <c r="UKM53" i="7" s="1"/>
  <c r="UKN53" i="7" s="1"/>
  <c r="UKO53" i="7" s="1"/>
  <c r="UKP53" i="7" s="1"/>
  <c r="UKQ53" i="7" s="1"/>
  <c r="UKR53" i="7" s="1"/>
  <c r="UKS53" i="7" s="1"/>
  <c r="UKT53" i="7" s="1"/>
  <c r="UKU53" i="7" s="1"/>
  <c r="UKV53" i="7" s="1"/>
  <c r="UKW53" i="7" s="1"/>
  <c r="UKX53" i="7" s="1"/>
  <c r="UKY53" i="7" s="1"/>
  <c r="UKZ53" i="7" s="1"/>
  <c r="ULA53" i="7" s="1"/>
  <c r="ULB53" i="7" s="1"/>
  <c r="ULC53" i="7" s="1"/>
  <c r="ULD53" i="7" s="1"/>
  <c r="ULE53" i="7" s="1"/>
  <c r="ULF53" i="7" s="1"/>
  <c r="ULG53" i="7" s="1"/>
  <c r="ULH53" i="7" s="1"/>
  <c r="ULI53" i="7" s="1"/>
  <c r="ULJ53" i="7" s="1"/>
  <c r="ULK53" i="7" s="1"/>
  <c r="ULL53" i="7" s="1"/>
  <c r="ULM53" i="7" s="1"/>
  <c r="ULN53" i="7" s="1"/>
  <c r="ULO53" i="7" s="1"/>
  <c r="ULP53" i="7" s="1"/>
  <c r="ULQ53" i="7" s="1"/>
  <c r="ULR53" i="7" s="1"/>
  <c r="ULS53" i="7" s="1"/>
  <c r="ULT53" i="7" s="1"/>
  <c r="ULU53" i="7" s="1"/>
  <c r="ULV53" i="7" s="1"/>
  <c r="ULW53" i="7" s="1"/>
  <c r="ULX53" i="7" s="1"/>
  <c r="ULY53" i="7" s="1"/>
  <c r="ULZ53" i="7" s="1"/>
  <c r="UMA53" i="7" s="1"/>
  <c r="UMB53" i="7" s="1"/>
  <c r="UMC53" i="7" s="1"/>
  <c r="UMD53" i="7" s="1"/>
  <c r="UME53" i="7" s="1"/>
  <c r="UMF53" i="7" s="1"/>
  <c r="UMG53" i="7" s="1"/>
  <c r="UMH53" i="7" s="1"/>
  <c r="UMI53" i="7" s="1"/>
  <c r="UMJ53" i="7" s="1"/>
  <c r="UMK53" i="7" s="1"/>
  <c r="UML53" i="7" s="1"/>
  <c r="UMM53" i="7" s="1"/>
  <c r="UMN53" i="7" s="1"/>
  <c r="UMO53" i="7" s="1"/>
  <c r="UMP53" i="7" s="1"/>
  <c r="UMQ53" i="7" s="1"/>
  <c r="UMR53" i="7" s="1"/>
  <c r="UMS53" i="7" s="1"/>
  <c r="UMT53" i="7" s="1"/>
  <c r="UMU53" i="7" s="1"/>
  <c r="UMV53" i="7" s="1"/>
  <c r="UMW53" i="7" s="1"/>
  <c r="UMX53" i="7" s="1"/>
  <c r="UMY53" i="7" s="1"/>
  <c r="UMZ53" i="7" s="1"/>
  <c r="UNA53" i="7" s="1"/>
  <c r="UNB53" i="7" s="1"/>
  <c r="UNC53" i="7" s="1"/>
  <c r="UND53" i="7" s="1"/>
  <c r="UNE53" i="7" s="1"/>
  <c r="UNF53" i="7" s="1"/>
  <c r="UNG53" i="7" s="1"/>
  <c r="UNH53" i="7" s="1"/>
  <c r="UNI53" i="7" s="1"/>
  <c r="UNJ53" i="7" s="1"/>
  <c r="UNK53" i="7" s="1"/>
  <c r="UNL53" i="7" s="1"/>
  <c r="UNM53" i="7" s="1"/>
  <c r="UNN53" i="7" s="1"/>
  <c r="UNO53" i="7" s="1"/>
  <c r="UNP53" i="7" s="1"/>
  <c r="UNQ53" i="7" s="1"/>
  <c r="UNR53" i="7" s="1"/>
  <c r="UNS53" i="7" s="1"/>
  <c r="UNT53" i="7" s="1"/>
  <c r="UNU53" i="7" s="1"/>
  <c r="UNV53" i="7" s="1"/>
  <c r="UNW53" i="7" s="1"/>
  <c r="UNX53" i="7" s="1"/>
  <c r="UNY53" i="7" s="1"/>
  <c r="UNZ53" i="7" s="1"/>
  <c r="UOA53" i="7" s="1"/>
  <c r="UOB53" i="7" s="1"/>
  <c r="UOC53" i="7" s="1"/>
  <c r="UOD53" i="7" s="1"/>
  <c r="UOE53" i="7" s="1"/>
  <c r="UOF53" i="7" s="1"/>
  <c r="UOG53" i="7" s="1"/>
  <c r="UOH53" i="7" s="1"/>
  <c r="UOI53" i="7" s="1"/>
  <c r="UOJ53" i="7" s="1"/>
  <c r="UOK53" i="7" s="1"/>
  <c r="UOL53" i="7" s="1"/>
  <c r="UOM53" i="7" s="1"/>
  <c r="UON53" i="7" s="1"/>
  <c r="UOO53" i="7" s="1"/>
  <c r="UOP53" i="7" s="1"/>
  <c r="UOQ53" i="7" s="1"/>
  <c r="UOR53" i="7" s="1"/>
  <c r="UOS53" i="7" s="1"/>
  <c r="UOT53" i="7" s="1"/>
  <c r="UOU53" i="7" s="1"/>
  <c r="UOV53" i="7" s="1"/>
  <c r="UOW53" i="7" s="1"/>
  <c r="UOX53" i="7" s="1"/>
  <c r="UOY53" i="7" s="1"/>
  <c r="UOZ53" i="7" s="1"/>
  <c r="UPA53" i="7" s="1"/>
  <c r="UPB53" i="7" s="1"/>
  <c r="UPC53" i="7" s="1"/>
  <c r="UPD53" i="7" s="1"/>
  <c r="UPE53" i="7" s="1"/>
  <c r="UPF53" i="7" s="1"/>
  <c r="UPG53" i="7" s="1"/>
  <c r="UPH53" i="7" s="1"/>
  <c r="UPI53" i="7" s="1"/>
  <c r="UPJ53" i="7" s="1"/>
  <c r="UPK53" i="7" s="1"/>
  <c r="UPL53" i="7" s="1"/>
  <c r="UPM53" i="7" s="1"/>
  <c r="UPN53" i="7" s="1"/>
  <c r="UPO53" i="7" s="1"/>
  <c r="UPP53" i="7" s="1"/>
  <c r="UPQ53" i="7" s="1"/>
  <c r="UPR53" i="7" s="1"/>
  <c r="UPS53" i="7" s="1"/>
  <c r="UPT53" i="7" s="1"/>
  <c r="UPU53" i="7" s="1"/>
  <c r="UPV53" i="7" s="1"/>
  <c r="UPW53" i="7" s="1"/>
  <c r="UPX53" i="7" s="1"/>
  <c r="UPY53" i="7" s="1"/>
  <c r="UPZ53" i="7" s="1"/>
  <c r="UQA53" i="7" s="1"/>
  <c r="UQB53" i="7" s="1"/>
  <c r="UQC53" i="7" s="1"/>
  <c r="UQD53" i="7" s="1"/>
  <c r="UQE53" i="7" s="1"/>
  <c r="UQF53" i="7" s="1"/>
  <c r="UQG53" i="7" s="1"/>
  <c r="UQH53" i="7" s="1"/>
  <c r="UQI53" i="7" s="1"/>
  <c r="UQJ53" i="7" s="1"/>
  <c r="UQK53" i="7" s="1"/>
  <c r="UQL53" i="7" s="1"/>
  <c r="UQM53" i="7" s="1"/>
  <c r="UQN53" i="7" s="1"/>
  <c r="UQO53" i="7" s="1"/>
  <c r="UQP53" i="7" s="1"/>
  <c r="UQQ53" i="7" s="1"/>
  <c r="UQR53" i="7" s="1"/>
  <c r="UQS53" i="7" s="1"/>
  <c r="UQT53" i="7" s="1"/>
  <c r="UQU53" i="7" s="1"/>
  <c r="UQV53" i="7" s="1"/>
  <c r="UQW53" i="7" s="1"/>
  <c r="UQX53" i="7" s="1"/>
  <c r="UQY53" i="7" s="1"/>
  <c r="UQZ53" i="7" s="1"/>
  <c r="URA53" i="7" s="1"/>
  <c r="URB53" i="7" s="1"/>
  <c r="URC53" i="7" s="1"/>
  <c r="URD53" i="7" s="1"/>
  <c r="URE53" i="7" s="1"/>
  <c r="URF53" i="7" s="1"/>
  <c r="URG53" i="7" s="1"/>
  <c r="URH53" i="7" s="1"/>
  <c r="URI53" i="7" s="1"/>
  <c r="URJ53" i="7" s="1"/>
  <c r="URK53" i="7" s="1"/>
  <c r="URL53" i="7" s="1"/>
  <c r="URM53" i="7" s="1"/>
  <c r="URN53" i="7" s="1"/>
  <c r="URO53" i="7" s="1"/>
  <c r="URP53" i="7" s="1"/>
  <c r="URQ53" i="7" s="1"/>
  <c r="URR53" i="7" s="1"/>
  <c r="URS53" i="7" s="1"/>
  <c r="URT53" i="7" s="1"/>
  <c r="URU53" i="7" s="1"/>
  <c r="URV53" i="7" s="1"/>
  <c r="URW53" i="7" s="1"/>
  <c r="URX53" i="7" s="1"/>
  <c r="URY53" i="7" s="1"/>
  <c r="URZ53" i="7" s="1"/>
  <c r="USA53" i="7" s="1"/>
  <c r="USB53" i="7" s="1"/>
  <c r="USC53" i="7" s="1"/>
  <c r="USD53" i="7" s="1"/>
  <c r="USE53" i="7" s="1"/>
  <c r="USF53" i="7" s="1"/>
  <c r="USG53" i="7" s="1"/>
  <c r="USH53" i="7" s="1"/>
  <c r="USI53" i="7" s="1"/>
  <c r="USJ53" i="7" s="1"/>
  <c r="USK53" i="7" s="1"/>
  <c r="USL53" i="7" s="1"/>
  <c r="USM53" i="7" s="1"/>
  <c r="USN53" i="7" s="1"/>
  <c r="USO53" i="7" s="1"/>
  <c r="USP53" i="7" s="1"/>
  <c r="USQ53" i="7" s="1"/>
  <c r="USR53" i="7" s="1"/>
  <c r="USS53" i="7" s="1"/>
  <c r="UST53" i="7" s="1"/>
  <c r="USU53" i="7" s="1"/>
  <c r="USV53" i="7" s="1"/>
  <c r="USW53" i="7" s="1"/>
  <c r="USX53" i="7" s="1"/>
  <c r="USY53" i="7" s="1"/>
  <c r="USZ53" i="7" s="1"/>
  <c r="UTA53" i="7" s="1"/>
  <c r="UTB53" i="7" s="1"/>
  <c r="UTC53" i="7" s="1"/>
  <c r="UTD53" i="7" s="1"/>
  <c r="UTE53" i="7" s="1"/>
  <c r="UTF53" i="7" s="1"/>
  <c r="UTG53" i="7" s="1"/>
  <c r="UTH53" i="7" s="1"/>
  <c r="UTI53" i="7" s="1"/>
  <c r="UTJ53" i="7" s="1"/>
  <c r="UTK53" i="7" s="1"/>
  <c r="UTL53" i="7" s="1"/>
  <c r="UTM53" i="7" s="1"/>
  <c r="UTN53" i="7" s="1"/>
  <c r="UTO53" i="7" s="1"/>
  <c r="UTP53" i="7" s="1"/>
  <c r="UTQ53" i="7" s="1"/>
  <c r="UTR53" i="7" s="1"/>
  <c r="UTS53" i="7" s="1"/>
  <c r="UTT53" i="7" s="1"/>
  <c r="UTU53" i="7" s="1"/>
  <c r="UTV53" i="7" s="1"/>
  <c r="UTW53" i="7" s="1"/>
  <c r="UTX53" i="7" s="1"/>
  <c r="UTY53" i="7" s="1"/>
  <c r="UTZ53" i="7" s="1"/>
  <c r="UUA53" i="7" s="1"/>
  <c r="UUB53" i="7" s="1"/>
  <c r="UUC53" i="7" s="1"/>
  <c r="UUD53" i="7" s="1"/>
  <c r="UUE53" i="7" s="1"/>
  <c r="UUF53" i="7" s="1"/>
  <c r="UUG53" i="7" s="1"/>
  <c r="UUH53" i="7" s="1"/>
  <c r="UUI53" i="7" s="1"/>
  <c r="UUJ53" i="7" s="1"/>
  <c r="UUK53" i="7" s="1"/>
  <c r="UUL53" i="7" s="1"/>
  <c r="UUM53" i="7" s="1"/>
  <c r="UUN53" i="7" s="1"/>
  <c r="UUO53" i="7" s="1"/>
  <c r="UUP53" i="7" s="1"/>
  <c r="UUQ53" i="7" s="1"/>
  <c r="UUR53" i="7" s="1"/>
  <c r="UUS53" i="7" s="1"/>
  <c r="UUT53" i="7" s="1"/>
  <c r="UUU53" i="7" s="1"/>
  <c r="UUV53" i="7" s="1"/>
  <c r="UUW53" i="7" s="1"/>
  <c r="UUX53" i="7" s="1"/>
  <c r="UUY53" i="7" s="1"/>
  <c r="UUZ53" i="7" s="1"/>
  <c r="UVA53" i="7" s="1"/>
  <c r="UVB53" i="7" s="1"/>
  <c r="UVC53" i="7" s="1"/>
  <c r="UVD53" i="7" s="1"/>
  <c r="UVE53" i="7" s="1"/>
  <c r="UVF53" i="7" s="1"/>
  <c r="UVG53" i="7" s="1"/>
  <c r="UVH53" i="7" s="1"/>
  <c r="UVI53" i="7" s="1"/>
  <c r="UVJ53" i="7" s="1"/>
  <c r="UVK53" i="7" s="1"/>
  <c r="UVL53" i="7" s="1"/>
  <c r="UVM53" i="7" s="1"/>
  <c r="UVN53" i="7" s="1"/>
  <c r="UVO53" i="7" s="1"/>
  <c r="UVP53" i="7" s="1"/>
  <c r="UVQ53" i="7" s="1"/>
  <c r="UVR53" i="7" s="1"/>
  <c r="UVS53" i="7" s="1"/>
  <c r="UVT53" i="7" s="1"/>
  <c r="UVU53" i="7" s="1"/>
  <c r="UVV53" i="7" s="1"/>
  <c r="UVW53" i="7" s="1"/>
  <c r="UVX53" i="7" s="1"/>
  <c r="UVY53" i="7" s="1"/>
  <c r="UVZ53" i="7" s="1"/>
  <c r="UWA53" i="7" s="1"/>
  <c r="UWB53" i="7" s="1"/>
  <c r="UWC53" i="7" s="1"/>
  <c r="UWD53" i="7" s="1"/>
  <c r="UWE53" i="7" s="1"/>
  <c r="UWF53" i="7" s="1"/>
  <c r="UWG53" i="7" s="1"/>
  <c r="UWH53" i="7" s="1"/>
  <c r="UWI53" i="7" s="1"/>
  <c r="UWJ53" i="7" s="1"/>
  <c r="UWK53" i="7" s="1"/>
  <c r="UWL53" i="7" s="1"/>
  <c r="UWM53" i="7" s="1"/>
  <c r="UWN53" i="7" s="1"/>
  <c r="UWO53" i="7" s="1"/>
  <c r="UWP53" i="7" s="1"/>
  <c r="UWQ53" i="7" s="1"/>
  <c r="UWR53" i="7" s="1"/>
  <c r="UWS53" i="7" s="1"/>
  <c r="UWT53" i="7" s="1"/>
  <c r="UWU53" i="7" s="1"/>
  <c r="UWV53" i="7" s="1"/>
  <c r="UWW53" i="7" s="1"/>
  <c r="UWX53" i="7" s="1"/>
  <c r="UWY53" i="7" s="1"/>
  <c r="UWZ53" i="7" s="1"/>
  <c r="UXA53" i="7" s="1"/>
  <c r="UXB53" i="7" s="1"/>
  <c r="UXC53" i="7" s="1"/>
  <c r="UXD53" i="7" s="1"/>
  <c r="UXE53" i="7" s="1"/>
  <c r="UXF53" i="7" s="1"/>
  <c r="UXG53" i="7" s="1"/>
  <c r="UXH53" i="7" s="1"/>
  <c r="UXI53" i="7" s="1"/>
  <c r="UXJ53" i="7" s="1"/>
  <c r="UXK53" i="7" s="1"/>
  <c r="UXL53" i="7" s="1"/>
  <c r="UXM53" i="7" s="1"/>
  <c r="UXN53" i="7" s="1"/>
  <c r="UXO53" i="7" s="1"/>
  <c r="UXP53" i="7" s="1"/>
  <c r="UXQ53" i="7" s="1"/>
  <c r="UXR53" i="7" s="1"/>
  <c r="UXS53" i="7" s="1"/>
  <c r="UXT53" i="7" s="1"/>
  <c r="UXU53" i="7" s="1"/>
  <c r="UXV53" i="7" s="1"/>
  <c r="UXW53" i="7" s="1"/>
  <c r="UXX53" i="7" s="1"/>
  <c r="UXY53" i="7" s="1"/>
  <c r="UXZ53" i="7" s="1"/>
  <c r="UYA53" i="7" s="1"/>
  <c r="UYB53" i="7" s="1"/>
  <c r="UYC53" i="7" s="1"/>
  <c r="UYD53" i="7" s="1"/>
  <c r="UYE53" i="7" s="1"/>
  <c r="UYF53" i="7" s="1"/>
  <c r="UYG53" i="7" s="1"/>
  <c r="UYH53" i="7" s="1"/>
  <c r="UYI53" i="7" s="1"/>
  <c r="UYJ53" i="7" s="1"/>
  <c r="UYK53" i="7" s="1"/>
  <c r="UYL53" i="7" s="1"/>
  <c r="UYM53" i="7" s="1"/>
  <c r="UYN53" i="7" s="1"/>
  <c r="UYO53" i="7" s="1"/>
  <c r="UYP53" i="7" s="1"/>
  <c r="UYQ53" i="7" s="1"/>
  <c r="UYR53" i="7" s="1"/>
  <c r="UYS53" i="7" s="1"/>
  <c r="UYT53" i="7" s="1"/>
  <c r="UYU53" i="7" s="1"/>
  <c r="UYV53" i="7" s="1"/>
  <c r="UYW53" i="7" s="1"/>
  <c r="UYX53" i="7" s="1"/>
  <c r="UYY53" i="7" s="1"/>
  <c r="UYZ53" i="7" s="1"/>
  <c r="UZA53" i="7" s="1"/>
  <c r="UZB53" i="7" s="1"/>
  <c r="UZC53" i="7" s="1"/>
  <c r="UZD53" i="7" s="1"/>
  <c r="UZE53" i="7" s="1"/>
  <c r="UZF53" i="7" s="1"/>
  <c r="UZG53" i="7" s="1"/>
  <c r="UZH53" i="7" s="1"/>
  <c r="UZI53" i="7" s="1"/>
  <c r="UZJ53" i="7" s="1"/>
  <c r="UZK53" i="7" s="1"/>
  <c r="UZL53" i="7" s="1"/>
  <c r="UZM53" i="7" s="1"/>
  <c r="UZN53" i="7" s="1"/>
  <c r="UZO53" i="7" s="1"/>
  <c r="UZP53" i="7" s="1"/>
  <c r="UZQ53" i="7" s="1"/>
  <c r="UZR53" i="7" s="1"/>
  <c r="UZS53" i="7" s="1"/>
  <c r="UZT53" i="7" s="1"/>
  <c r="UZU53" i="7" s="1"/>
  <c r="UZV53" i="7" s="1"/>
  <c r="UZW53" i="7" s="1"/>
  <c r="UZX53" i="7" s="1"/>
  <c r="UZY53" i="7" s="1"/>
  <c r="UZZ53" i="7" s="1"/>
  <c r="VAA53" i="7" s="1"/>
  <c r="VAB53" i="7" s="1"/>
  <c r="VAC53" i="7" s="1"/>
  <c r="VAD53" i="7" s="1"/>
  <c r="VAE53" i="7" s="1"/>
  <c r="VAF53" i="7" s="1"/>
  <c r="VAG53" i="7" s="1"/>
  <c r="VAH53" i="7" s="1"/>
  <c r="VAI53" i="7" s="1"/>
  <c r="VAJ53" i="7" s="1"/>
  <c r="VAK53" i="7" s="1"/>
  <c r="VAL53" i="7" s="1"/>
  <c r="VAM53" i="7" s="1"/>
  <c r="VAN53" i="7" s="1"/>
  <c r="VAO53" i="7" s="1"/>
  <c r="VAP53" i="7" s="1"/>
  <c r="VAQ53" i="7" s="1"/>
  <c r="VAR53" i="7" s="1"/>
  <c r="VAS53" i="7" s="1"/>
  <c r="VAT53" i="7" s="1"/>
  <c r="VAU53" i="7" s="1"/>
  <c r="VAV53" i="7" s="1"/>
  <c r="VAW53" i="7" s="1"/>
  <c r="VAX53" i="7" s="1"/>
  <c r="VAY53" i="7" s="1"/>
  <c r="VAZ53" i="7" s="1"/>
  <c r="VBA53" i="7" s="1"/>
  <c r="VBB53" i="7" s="1"/>
  <c r="VBC53" i="7" s="1"/>
  <c r="VBD53" i="7" s="1"/>
  <c r="VBE53" i="7" s="1"/>
  <c r="VBF53" i="7" s="1"/>
  <c r="VBG53" i="7" s="1"/>
  <c r="VBH53" i="7" s="1"/>
  <c r="VBI53" i="7" s="1"/>
  <c r="VBJ53" i="7" s="1"/>
  <c r="VBK53" i="7" s="1"/>
  <c r="VBL53" i="7" s="1"/>
  <c r="VBM53" i="7" s="1"/>
  <c r="VBN53" i="7" s="1"/>
  <c r="VBO53" i="7" s="1"/>
  <c r="VBP53" i="7" s="1"/>
  <c r="VBQ53" i="7" s="1"/>
  <c r="VBR53" i="7" s="1"/>
  <c r="VBS53" i="7" s="1"/>
  <c r="VBT53" i="7" s="1"/>
  <c r="VBU53" i="7" s="1"/>
  <c r="VBV53" i="7" s="1"/>
  <c r="VBW53" i="7" s="1"/>
  <c r="VBX53" i="7" s="1"/>
  <c r="VBY53" i="7" s="1"/>
  <c r="VBZ53" i="7" s="1"/>
  <c r="VCA53" i="7" s="1"/>
  <c r="VCB53" i="7" s="1"/>
  <c r="VCC53" i="7" s="1"/>
  <c r="VCD53" i="7" s="1"/>
  <c r="VCE53" i="7" s="1"/>
  <c r="VCF53" i="7" s="1"/>
  <c r="VCG53" i="7" s="1"/>
  <c r="VCH53" i="7" s="1"/>
  <c r="VCI53" i="7" s="1"/>
  <c r="VCJ53" i="7" s="1"/>
  <c r="VCK53" i="7" s="1"/>
  <c r="VCL53" i="7" s="1"/>
  <c r="VCM53" i="7" s="1"/>
  <c r="VCN53" i="7" s="1"/>
  <c r="VCO53" i="7" s="1"/>
  <c r="VCP53" i="7" s="1"/>
  <c r="VCQ53" i="7" s="1"/>
  <c r="VCR53" i="7" s="1"/>
  <c r="VCS53" i="7" s="1"/>
  <c r="VCT53" i="7" s="1"/>
  <c r="VCU53" i="7" s="1"/>
  <c r="VCV53" i="7" s="1"/>
  <c r="VCW53" i="7" s="1"/>
  <c r="VCX53" i="7" s="1"/>
  <c r="VCY53" i="7" s="1"/>
  <c r="VCZ53" i="7" s="1"/>
  <c r="VDA53" i="7" s="1"/>
  <c r="VDB53" i="7" s="1"/>
  <c r="VDC53" i="7" s="1"/>
  <c r="VDD53" i="7" s="1"/>
  <c r="VDE53" i="7" s="1"/>
  <c r="VDF53" i="7" s="1"/>
  <c r="VDG53" i="7" s="1"/>
  <c r="VDH53" i="7" s="1"/>
  <c r="VDI53" i="7" s="1"/>
  <c r="VDJ53" i="7" s="1"/>
  <c r="VDK53" i="7" s="1"/>
  <c r="VDL53" i="7" s="1"/>
  <c r="VDM53" i="7" s="1"/>
  <c r="VDN53" i="7" s="1"/>
  <c r="VDO53" i="7" s="1"/>
  <c r="VDP53" i="7" s="1"/>
  <c r="VDQ53" i="7" s="1"/>
  <c r="VDR53" i="7" s="1"/>
  <c r="VDS53" i="7" s="1"/>
  <c r="VDT53" i="7" s="1"/>
  <c r="VDU53" i="7" s="1"/>
  <c r="VDV53" i="7" s="1"/>
  <c r="VDW53" i="7" s="1"/>
  <c r="VDX53" i="7" s="1"/>
  <c r="VDY53" i="7" s="1"/>
  <c r="VDZ53" i="7" s="1"/>
  <c r="VEA53" i="7" s="1"/>
  <c r="VEB53" i="7" s="1"/>
  <c r="VEC53" i="7" s="1"/>
  <c r="VED53" i="7" s="1"/>
  <c r="VEE53" i="7" s="1"/>
  <c r="VEF53" i="7" s="1"/>
  <c r="VEG53" i="7" s="1"/>
  <c r="VEH53" i="7" s="1"/>
  <c r="VEI53" i="7" s="1"/>
  <c r="VEJ53" i="7" s="1"/>
  <c r="VEK53" i="7" s="1"/>
  <c r="VEL53" i="7" s="1"/>
  <c r="VEM53" i="7" s="1"/>
  <c r="VEN53" i="7" s="1"/>
  <c r="VEO53" i="7" s="1"/>
  <c r="VEP53" i="7" s="1"/>
  <c r="VEQ53" i="7" s="1"/>
  <c r="VER53" i="7" s="1"/>
  <c r="VES53" i="7" s="1"/>
  <c r="VET53" i="7" s="1"/>
  <c r="VEU53" i="7" s="1"/>
  <c r="VEV53" i="7" s="1"/>
  <c r="VEW53" i="7" s="1"/>
  <c r="VEX53" i="7" s="1"/>
  <c r="VEY53" i="7" s="1"/>
  <c r="VEZ53" i="7" s="1"/>
  <c r="VFA53" i="7" s="1"/>
  <c r="VFB53" i="7" s="1"/>
  <c r="VFC53" i="7" s="1"/>
  <c r="VFD53" i="7" s="1"/>
  <c r="VFE53" i="7" s="1"/>
  <c r="VFF53" i="7" s="1"/>
  <c r="VFG53" i="7" s="1"/>
  <c r="VFH53" i="7" s="1"/>
  <c r="VFI53" i="7" s="1"/>
  <c r="VFJ53" i="7" s="1"/>
  <c r="VFK53" i="7" s="1"/>
  <c r="VFL53" i="7" s="1"/>
  <c r="VFM53" i="7" s="1"/>
  <c r="VFN53" i="7" s="1"/>
  <c r="VFO53" i="7" s="1"/>
  <c r="VFP53" i="7" s="1"/>
  <c r="VFQ53" i="7" s="1"/>
  <c r="VFR53" i="7" s="1"/>
  <c r="VFS53" i="7" s="1"/>
  <c r="VFT53" i="7" s="1"/>
  <c r="VFU53" i="7" s="1"/>
  <c r="VFV53" i="7" s="1"/>
  <c r="VFW53" i="7" s="1"/>
  <c r="VFX53" i="7" s="1"/>
  <c r="VFY53" i="7" s="1"/>
  <c r="VFZ53" i="7" s="1"/>
  <c r="VGA53" i="7" s="1"/>
  <c r="VGB53" i="7" s="1"/>
  <c r="VGC53" i="7" s="1"/>
  <c r="VGD53" i="7" s="1"/>
  <c r="VGE53" i="7" s="1"/>
  <c r="VGF53" i="7" s="1"/>
  <c r="VGG53" i="7" s="1"/>
  <c r="VGH53" i="7" s="1"/>
  <c r="VGI53" i="7" s="1"/>
  <c r="VGJ53" i="7" s="1"/>
  <c r="VGK53" i="7" s="1"/>
  <c r="VGL53" i="7" s="1"/>
  <c r="VGM53" i="7" s="1"/>
  <c r="VGN53" i="7" s="1"/>
  <c r="VGO53" i="7" s="1"/>
  <c r="VGP53" i="7" s="1"/>
  <c r="VGQ53" i="7" s="1"/>
  <c r="VGR53" i="7" s="1"/>
  <c r="VGS53" i="7" s="1"/>
  <c r="VGT53" i="7" s="1"/>
  <c r="VGU53" i="7" s="1"/>
  <c r="VGV53" i="7" s="1"/>
  <c r="VGW53" i="7" s="1"/>
  <c r="VGX53" i="7" s="1"/>
  <c r="VGY53" i="7" s="1"/>
  <c r="VGZ53" i="7" s="1"/>
  <c r="VHA53" i="7" s="1"/>
  <c r="VHB53" i="7" s="1"/>
  <c r="VHC53" i="7" s="1"/>
  <c r="VHD53" i="7" s="1"/>
  <c r="VHE53" i="7" s="1"/>
  <c r="VHF53" i="7" s="1"/>
  <c r="VHG53" i="7" s="1"/>
  <c r="VHH53" i="7" s="1"/>
  <c r="VHI53" i="7" s="1"/>
  <c r="VHJ53" i="7" s="1"/>
  <c r="VHK53" i="7" s="1"/>
  <c r="VHL53" i="7" s="1"/>
  <c r="VHM53" i="7" s="1"/>
  <c r="VHN53" i="7" s="1"/>
  <c r="VHO53" i="7" s="1"/>
  <c r="VHP53" i="7" s="1"/>
  <c r="VHQ53" i="7" s="1"/>
  <c r="VHR53" i="7" s="1"/>
  <c r="VHS53" i="7" s="1"/>
  <c r="VHT53" i="7" s="1"/>
  <c r="VHU53" i="7" s="1"/>
  <c r="VHV53" i="7" s="1"/>
  <c r="VHW53" i="7" s="1"/>
  <c r="VHX53" i="7" s="1"/>
  <c r="VHY53" i="7" s="1"/>
  <c r="VHZ53" i="7" s="1"/>
  <c r="VIA53" i="7" s="1"/>
  <c r="VIB53" i="7" s="1"/>
  <c r="VIC53" i="7" s="1"/>
  <c r="VID53" i="7" s="1"/>
  <c r="VIE53" i="7" s="1"/>
  <c r="VIF53" i="7" s="1"/>
  <c r="VIG53" i="7" s="1"/>
  <c r="VIH53" i="7" s="1"/>
  <c r="VII53" i="7" s="1"/>
  <c r="VIJ53" i="7" s="1"/>
  <c r="VIK53" i="7" s="1"/>
  <c r="VIL53" i="7" s="1"/>
  <c r="VIM53" i="7" s="1"/>
  <c r="VIN53" i="7" s="1"/>
  <c r="VIO53" i="7" s="1"/>
  <c r="VIP53" i="7" s="1"/>
  <c r="VIQ53" i="7" s="1"/>
  <c r="VIR53" i="7" s="1"/>
  <c r="VIS53" i="7" s="1"/>
  <c r="VIT53" i="7" s="1"/>
  <c r="VIU53" i="7" s="1"/>
  <c r="VIV53" i="7" s="1"/>
  <c r="VIW53" i="7" s="1"/>
  <c r="VIX53" i="7" s="1"/>
  <c r="VIY53" i="7" s="1"/>
  <c r="VIZ53" i="7" s="1"/>
  <c r="VJA53" i="7" s="1"/>
  <c r="VJB53" i="7" s="1"/>
  <c r="VJC53" i="7" s="1"/>
  <c r="VJD53" i="7" s="1"/>
  <c r="VJE53" i="7" s="1"/>
  <c r="VJF53" i="7" s="1"/>
  <c r="VJG53" i="7" s="1"/>
  <c r="VJH53" i="7" s="1"/>
  <c r="VJI53" i="7" s="1"/>
  <c r="VJJ53" i="7" s="1"/>
  <c r="VJK53" i="7" s="1"/>
  <c r="VJL53" i="7" s="1"/>
  <c r="VJM53" i="7" s="1"/>
  <c r="VJN53" i="7" s="1"/>
  <c r="VJO53" i="7" s="1"/>
  <c r="VJP53" i="7" s="1"/>
  <c r="VJQ53" i="7" s="1"/>
  <c r="VJR53" i="7" s="1"/>
  <c r="VJS53" i="7" s="1"/>
  <c r="VJT53" i="7" s="1"/>
  <c r="VJU53" i="7" s="1"/>
  <c r="VJV53" i="7" s="1"/>
  <c r="VJW53" i="7" s="1"/>
  <c r="VJX53" i="7" s="1"/>
  <c r="VJY53" i="7" s="1"/>
  <c r="VJZ53" i="7" s="1"/>
  <c r="VKA53" i="7" s="1"/>
  <c r="VKB53" i="7" s="1"/>
  <c r="VKC53" i="7" s="1"/>
  <c r="VKD53" i="7" s="1"/>
  <c r="VKE53" i="7" s="1"/>
  <c r="VKF53" i="7" s="1"/>
  <c r="VKG53" i="7" s="1"/>
  <c r="VKH53" i="7" s="1"/>
  <c r="VKI53" i="7" s="1"/>
  <c r="VKJ53" i="7" s="1"/>
  <c r="VKK53" i="7" s="1"/>
  <c r="VKL53" i="7" s="1"/>
  <c r="VKM53" i="7" s="1"/>
  <c r="VKN53" i="7" s="1"/>
  <c r="VKO53" i="7" s="1"/>
  <c r="VKP53" i="7" s="1"/>
  <c r="VKQ53" i="7" s="1"/>
  <c r="VKR53" i="7" s="1"/>
  <c r="VKS53" i="7" s="1"/>
  <c r="VKT53" i="7" s="1"/>
  <c r="VKU53" i="7" s="1"/>
  <c r="VKV53" i="7" s="1"/>
  <c r="VKW53" i="7" s="1"/>
  <c r="VKX53" i="7" s="1"/>
  <c r="VKY53" i="7" s="1"/>
  <c r="VKZ53" i="7" s="1"/>
  <c r="VLA53" i="7" s="1"/>
  <c r="VLB53" i="7" s="1"/>
  <c r="VLC53" i="7" s="1"/>
  <c r="VLD53" i="7" s="1"/>
  <c r="VLE53" i="7" s="1"/>
  <c r="VLF53" i="7" s="1"/>
  <c r="VLG53" i="7" s="1"/>
  <c r="VLH53" i="7" s="1"/>
  <c r="VLI53" i="7" s="1"/>
  <c r="VLJ53" i="7" s="1"/>
  <c r="VLK53" i="7" s="1"/>
  <c r="VLL53" i="7" s="1"/>
  <c r="VLM53" i="7" s="1"/>
  <c r="VLN53" i="7" s="1"/>
  <c r="VLO53" i="7" s="1"/>
  <c r="VLP53" i="7" s="1"/>
  <c r="VLQ53" i="7" s="1"/>
  <c r="VLR53" i="7" s="1"/>
  <c r="VLS53" i="7" s="1"/>
  <c r="VLT53" i="7" s="1"/>
  <c r="VLU53" i="7" s="1"/>
  <c r="VLV53" i="7" s="1"/>
  <c r="VLW53" i="7" s="1"/>
  <c r="VLX53" i="7" s="1"/>
  <c r="VLY53" i="7" s="1"/>
  <c r="VLZ53" i="7" s="1"/>
  <c r="VMA53" i="7" s="1"/>
  <c r="VMB53" i="7" s="1"/>
  <c r="VMC53" i="7" s="1"/>
  <c r="VMD53" i="7" s="1"/>
  <c r="VME53" i="7" s="1"/>
  <c r="VMF53" i="7" s="1"/>
  <c r="VMG53" i="7" s="1"/>
  <c r="VMH53" i="7" s="1"/>
  <c r="VMI53" i="7" s="1"/>
  <c r="VMJ53" i="7" s="1"/>
  <c r="VMK53" i="7" s="1"/>
  <c r="VML53" i="7" s="1"/>
  <c r="VMM53" i="7" s="1"/>
  <c r="VMN53" i="7" s="1"/>
  <c r="VMO53" i="7" s="1"/>
  <c r="VMP53" i="7" s="1"/>
  <c r="VMQ53" i="7" s="1"/>
  <c r="VMR53" i="7" s="1"/>
  <c r="VMS53" i="7" s="1"/>
  <c r="VMT53" i="7" s="1"/>
  <c r="VMU53" i="7" s="1"/>
  <c r="VMV53" i="7" s="1"/>
  <c r="VMW53" i="7" s="1"/>
  <c r="VMX53" i="7" s="1"/>
  <c r="VMY53" i="7" s="1"/>
  <c r="VMZ53" i="7" s="1"/>
  <c r="VNA53" i="7" s="1"/>
  <c r="VNB53" i="7" s="1"/>
  <c r="VNC53" i="7" s="1"/>
  <c r="VND53" i="7" s="1"/>
  <c r="VNE53" i="7" s="1"/>
  <c r="VNF53" i="7" s="1"/>
  <c r="VNG53" i="7" s="1"/>
  <c r="VNH53" i="7" s="1"/>
  <c r="VNI53" i="7" s="1"/>
  <c r="VNJ53" i="7" s="1"/>
  <c r="VNK53" i="7" s="1"/>
  <c r="VNL53" i="7" s="1"/>
  <c r="VNM53" i="7" s="1"/>
  <c r="VNN53" i="7" s="1"/>
  <c r="VNO53" i="7" s="1"/>
  <c r="VNP53" i="7" s="1"/>
  <c r="VNQ53" i="7" s="1"/>
  <c r="VNR53" i="7" s="1"/>
  <c r="VNS53" i="7" s="1"/>
  <c r="VNT53" i="7" s="1"/>
  <c r="VNU53" i="7" s="1"/>
  <c r="VNV53" i="7" s="1"/>
  <c r="VNW53" i="7" s="1"/>
  <c r="VNX53" i="7" s="1"/>
  <c r="VNY53" i="7" s="1"/>
  <c r="VNZ53" i="7" s="1"/>
  <c r="VOA53" i="7" s="1"/>
  <c r="VOB53" i="7" s="1"/>
  <c r="VOC53" i="7" s="1"/>
  <c r="VOD53" i="7" s="1"/>
  <c r="VOE53" i="7" s="1"/>
  <c r="VOF53" i="7" s="1"/>
  <c r="VOG53" i="7" s="1"/>
  <c r="VOH53" i="7" s="1"/>
  <c r="VOI53" i="7" s="1"/>
  <c r="VOJ53" i="7" s="1"/>
  <c r="VOK53" i="7" s="1"/>
  <c r="VOL53" i="7" s="1"/>
  <c r="VOM53" i="7" s="1"/>
  <c r="VON53" i="7" s="1"/>
  <c r="VOO53" i="7" s="1"/>
  <c r="VOP53" i="7" s="1"/>
  <c r="VOQ53" i="7" s="1"/>
  <c r="VOR53" i="7" s="1"/>
  <c r="VOS53" i="7" s="1"/>
  <c r="VOT53" i="7" s="1"/>
  <c r="VOU53" i="7" s="1"/>
  <c r="VOV53" i="7" s="1"/>
  <c r="VOW53" i="7" s="1"/>
  <c r="VOX53" i="7" s="1"/>
  <c r="VOY53" i="7" s="1"/>
  <c r="VOZ53" i="7" s="1"/>
  <c r="VPA53" i="7" s="1"/>
  <c r="VPB53" i="7" s="1"/>
  <c r="VPC53" i="7" s="1"/>
  <c r="VPD53" i="7" s="1"/>
  <c r="VPE53" i="7" s="1"/>
  <c r="VPF53" i="7" s="1"/>
  <c r="VPG53" i="7" s="1"/>
  <c r="VPH53" i="7" s="1"/>
  <c r="VPI53" i="7" s="1"/>
  <c r="VPJ53" i="7" s="1"/>
  <c r="VPK53" i="7" s="1"/>
  <c r="VPL53" i="7" s="1"/>
  <c r="VPM53" i="7" s="1"/>
  <c r="VPN53" i="7" s="1"/>
  <c r="VPO53" i="7" s="1"/>
  <c r="VPP53" i="7" s="1"/>
  <c r="VPQ53" i="7" s="1"/>
  <c r="VPR53" i="7" s="1"/>
  <c r="VPS53" i="7" s="1"/>
  <c r="VPT53" i="7" s="1"/>
  <c r="VPU53" i="7" s="1"/>
  <c r="VPV53" i="7" s="1"/>
  <c r="VPW53" i="7" s="1"/>
  <c r="VPX53" i="7" s="1"/>
  <c r="VPY53" i="7" s="1"/>
  <c r="VPZ53" i="7" s="1"/>
  <c r="VQA53" i="7" s="1"/>
  <c r="VQB53" i="7" s="1"/>
  <c r="VQC53" i="7" s="1"/>
  <c r="VQD53" i="7" s="1"/>
  <c r="VQE53" i="7" s="1"/>
  <c r="VQF53" i="7" s="1"/>
  <c r="VQG53" i="7" s="1"/>
  <c r="VQH53" i="7" s="1"/>
  <c r="VQI53" i="7" s="1"/>
  <c r="VQJ53" i="7" s="1"/>
  <c r="VQK53" i="7" s="1"/>
  <c r="VQL53" i="7" s="1"/>
  <c r="VQM53" i="7" s="1"/>
  <c r="VQN53" i="7" s="1"/>
  <c r="VQO53" i="7" s="1"/>
  <c r="VQP53" i="7" s="1"/>
  <c r="VQQ53" i="7" s="1"/>
  <c r="VQR53" i="7" s="1"/>
  <c r="VQS53" i="7" s="1"/>
  <c r="VQT53" i="7" s="1"/>
  <c r="VQU53" i="7" s="1"/>
  <c r="VQV53" i="7" s="1"/>
  <c r="VQW53" i="7" s="1"/>
  <c r="VQX53" i="7" s="1"/>
  <c r="VQY53" i="7" s="1"/>
  <c r="VQZ53" i="7" s="1"/>
  <c r="VRA53" i="7" s="1"/>
  <c r="VRB53" i="7" s="1"/>
  <c r="VRC53" i="7" s="1"/>
  <c r="VRD53" i="7" s="1"/>
  <c r="VRE53" i="7" s="1"/>
  <c r="VRF53" i="7" s="1"/>
  <c r="VRG53" i="7" s="1"/>
  <c r="VRH53" i="7" s="1"/>
  <c r="VRI53" i="7" s="1"/>
  <c r="VRJ53" i="7" s="1"/>
  <c r="VRK53" i="7" s="1"/>
  <c r="VRL53" i="7" s="1"/>
  <c r="VRM53" i="7" s="1"/>
  <c r="VRN53" i="7" s="1"/>
  <c r="VRO53" i="7" s="1"/>
  <c r="VRP53" i="7" s="1"/>
  <c r="VRQ53" i="7" s="1"/>
  <c r="VRR53" i="7" s="1"/>
  <c r="VRS53" i="7" s="1"/>
  <c r="VRT53" i="7" s="1"/>
  <c r="VRU53" i="7" s="1"/>
  <c r="VRV53" i="7" s="1"/>
  <c r="VRW53" i="7" s="1"/>
  <c r="VRX53" i="7" s="1"/>
  <c r="VRY53" i="7" s="1"/>
  <c r="VRZ53" i="7" s="1"/>
  <c r="VSA53" i="7" s="1"/>
  <c r="VSB53" i="7" s="1"/>
  <c r="VSC53" i="7" s="1"/>
  <c r="VSD53" i="7" s="1"/>
  <c r="VSE53" i="7" s="1"/>
  <c r="VSF53" i="7" s="1"/>
  <c r="VSG53" i="7" s="1"/>
  <c r="VSH53" i="7" s="1"/>
  <c r="VSI53" i="7" s="1"/>
  <c r="VSJ53" i="7" s="1"/>
  <c r="VSK53" i="7" s="1"/>
  <c r="VSL53" i="7" s="1"/>
  <c r="VSM53" i="7" s="1"/>
  <c r="VSN53" i="7" s="1"/>
  <c r="VSO53" i="7" s="1"/>
  <c r="VSP53" i="7" s="1"/>
  <c r="VSQ53" i="7" s="1"/>
  <c r="VSR53" i="7" s="1"/>
  <c r="VSS53" i="7" s="1"/>
  <c r="VST53" i="7" s="1"/>
  <c r="VSU53" i="7" s="1"/>
  <c r="VSV53" i="7" s="1"/>
  <c r="VSW53" i="7" s="1"/>
  <c r="VSX53" i="7" s="1"/>
  <c r="VSY53" i="7" s="1"/>
  <c r="VSZ53" i="7" s="1"/>
  <c r="VTA53" i="7" s="1"/>
  <c r="VTB53" i="7" s="1"/>
  <c r="VTC53" i="7" s="1"/>
  <c r="VTD53" i="7" s="1"/>
  <c r="VTE53" i="7" s="1"/>
  <c r="VTF53" i="7" s="1"/>
  <c r="VTG53" i="7" s="1"/>
  <c r="VTH53" i="7" s="1"/>
  <c r="VTI53" i="7" s="1"/>
  <c r="VTJ53" i="7" s="1"/>
  <c r="VTK53" i="7" s="1"/>
  <c r="VTL53" i="7" s="1"/>
  <c r="VTM53" i="7" s="1"/>
  <c r="VTN53" i="7" s="1"/>
  <c r="VTO53" i="7" s="1"/>
  <c r="VTP53" i="7" s="1"/>
  <c r="VTQ53" i="7" s="1"/>
  <c r="VTR53" i="7" s="1"/>
  <c r="VTS53" i="7" s="1"/>
  <c r="VTT53" i="7" s="1"/>
  <c r="VTU53" i="7" s="1"/>
  <c r="VTV53" i="7" s="1"/>
  <c r="VTW53" i="7" s="1"/>
  <c r="VTX53" i="7" s="1"/>
  <c r="VTY53" i="7" s="1"/>
  <c r="VTZ53" i="7" s="1"/>
  <c r="VUA53" i="7" s="1"/>
  <c r="VUB53" i="7" s="1"/>
  <c r="VUC53" i="7" s="1"/>
  <c r="VUD53" i="7" s="1"/>
  <c r="VUE53" i="7" s="1"/>
  <c r="VUF53" i="7" s="1"/>
  <c r="VUG53" i="7" s="1"/>
  <c r="VUH53" i="7" s="1"/>
  <c r="VUI53" i="7" s="1"/>
  <c r="VUJ53" i="7" s="1"/>
  <c r="VUK53" i="7" s="1"/>
  <c r="VUL53" i="7" s="1"/>
  <c r="VUM53" i="7" s="1"/>
  <c r="VUN53" i="7" s="1"/>
  <c r="VUO53" i="7" s="1"/>
  <c r="VUP53" i="7" s="1"/>
  <c r="VUQ53" i="7" s="1"/>
  <c r="VUR53" i="7" s="1"/>
  <c r="VUS53" i="7" s="1"/>
  <c r="VUT53" i="7" s="1"/>
  <c r="VUU53" i="7" s="1"/>
  <c r="VUV53" i="7" s="1"/>
  <c r="VUW53" i="7" s="1"/>
  <c r="VUX53" i="7" s="1"/>
  <c r="VUY53" i="7" s="1"/>
  <c r="VUZ53" i="7" s="1"/>
  <c r="VVA53" i="7" s="1"/>
  <c r="VVB53" i="7" s="1"/>
  <c r="VVC53" i="7" s="1"/>
  <c r="VVD53" i="7" s="1"/>
  <c r="VVE53" i="7" s="1"/>
  <c r="VVF53" i="7" s="1"/>
  <c r="VVG53" i="7" s="1"/>
  <c r="VVH53" i="7" s="1"/>
  <c r="VVI53" i="7" s="1"/>
  <c r="VVJ53" i="7" s="1"/>
  <c r="VVK53" i="7" s="1"/>
  <c r="VVL53" i="7" s="1"/>
  <c r="VVM53" i="7" s="1"/>
  <c r="VVN53" i="7" s="1"/>
  <c r="VVO53" i="7" s="1"/>
  <c r="VVP53" i="7" s="1"/>
  <c r="VVQ53" i="7" s="1"/>
  <c r="VVR53" i="7" s="1"/>
  <c r="VVS53" i="7" s="1"/>
  <c r="VVT53" i="7" s="1"/>
  <c r="VVU53" i="7" s="1"/>
  <c r="VVV53" i="7" s="1"/>
  <c r="VVW53" i="7" s="1"/>
  <c r="VVX53" i="7" s="1"/>
  <c r="VVY53" i="7" s="1"/>
  <c r="VVZ53" i="7" s="1"/>
  <c r="VWA53" i="7" s="1"/>
  <c r="VWB53" i="7" s="1"/>
  <c r="VWC53" i="7" s="1"/>
  <c r="VWD53" i="7" s="1"/>
  <c r="VWE53" i="7" s="1"/>
  <c r="VWF53" i="7" s="1"/>
  <c r="VWG53" i="7" s="1"/>
  <c r="VWH53" i="7" s="1"/>
  <c r="VWI53" i="7" s="1"/>
  <c r="VWJ53" i="7" s="1"/>
  <c r="VWK53" i="7" s="1"/>
  <c r="VWL53" i="7" s="1"/>
  <c r="VWM53" i="7" s="1"/>
  <c r="VWN53" i="7" s="1"/>
  <c r="VWO53" i="7" s="1"/>
  <c r="VWP53" i="7" s="1"/>
  <c r="VWQ53" i="7" s="1"/>
  <c r="VWR53" i="7" s="1"/>
  <c r="VWS53" i="7" s="1"/>
  <c r="VWT53" i="7" s="1"/>
  <c r="VWU53" i="7" s="1"/>
  <c r="VWV53" i="7" s="1"/>
  <c r="VWW53" i="7" s="1"/>
  <c r="VWX53" i="7" s="1"/>
  <c r="VWY53" i="7" s="1"/>
  <c r="VWZ53" i="7" s="1"/>
  <c r="VXA53" i="7" s="1"/>
  <c r="VXB53" i="7" s="1"/>
  <c r="VXC53" i="7" s="1"/>
  <c r="VXD53" i="7" s="1"/>
  <c r="VXE53" i="7" s="1"/>
  <c r="VXF53" i="7" s="1"/>
  <c r="VXG53" i="7" s="1"/>
  <c r="VXH53" i="7" s="1"/>
  <c r="VXI53" i="7" s="1"/>
  <c r="VXJ53" i="7" s="1"/>
  <c r="VXK53" i="7" s="1"/>
  <c r="VXL53" i="7" s="1"/>
  <c r="VXM53" i="7" s="1"/>
  <c r="VXN53" i="7" s="1"/>
  <c r="VXO53" i="7" s="1"/>
  <c r="VXP53" i="7" s="1"/>
  <c r="VXQ53" i="7" s="1"/>
  <c r="VXR53" i="7" s="1"/>
  <c r="VXS53" i="7" s="1"/>
  <c r="VXT53" i="7" s="1"/>
  <c r="VXU53" i="7" s="1"/>
  <c r="VXV53" i="7" s="1"/>
  <c r="VXW53" i="7" s="1"/>
  <c r="VXX53" i="7" s="1"/>
  <c r="VXY53" i="7" s="1"/>
  <c r="VXZ53" i="7" s="1"/>
  <c r="VYA53" i="7" s="1"/>
  <c r="VYB53" i="7" s="1"/>
  <c r="VYC53" i="7" s="1"/>
  <c r="VYD53" i="7" s="1"/>
  <c r="VYE53" i="7" s="1"/>
  <c r="VYF53" i="7" s="1"/>
  <c r="VYG53" i="7" s="1"/>
  <c r="VYH53" i="7" s="1"/>
  <c r="VYI53" i="7" s="1"/>
  <c r="VYJ53" i="7" s="1"/>
  <c r="VYK53" i="7" s="1"/>
  <c r="VYL53" i="7" s="1"/>
  <c r="VYM53" i="7" s="1"/>
  <c r="VYN53" i="7" s="1"/>
  <c r="VYO53" i="7" s="1"/>
  <c r="VYP53" i="7" s="1"/>
  <c r="VYQ53" i="7" s="1"/>
  <c r="VYR53" i="7" s="1"/>
  <c r="VYS53" i="7" s="1"/>
  <c r="VYT53" i="7" s="1"/>
  <c r="VYU53" i="7" s="1"/>
  <c r="VYV53" i="7" s="1"/>
  <c r="VYW53" i="7" s="1"/>
  <c r="VYX53" i="7" s="1"/>
  <c r="VYY53" i="7" s="1"/>
  <c r="VYZ53" i="7" s="1"/>
  <c r="VZA53" i="7" s="1"/>
  <c r="VZB53" i="7" s="1"/>
  <c r="VZC53" i="7" s="1"/>
  <c r="VZD53" i="7" s="1"/>
  <c r="VZE53" i="7" s="1"/>
  <c r="VZF53" i="7" s="1"/>
  <c r="VZG53" i="7" s="1"/>
  <c r="VZH53" i="7" s="1"/>
  <c r="VZI53" i="7" s="1"/>
  <c r="VZJ53" i="7" s="1"/>
  <c r="VZK53" i="7" s="1"/>
  <c r="VZL53" i="7" s="1"/>
  <c r="VZM53" i="7" s="1"/>
  <c r="VZN53" i="7" s="1"/>
  <c r="VZO53" i="7" s="1"/>
  <c r="VZP53" i="7" s="1"/>
  <c r="VZQ53" i="7" s="1"/>
  <c r="VZR53" i="7" s="1"/>
  <c r="VZS53" i="7" s="1"/>
  <c r="VZT53" i="7" s="1"/>
  <c r="VZU53" i="7" s="1"/>
  <c r="VZV53" i="7" s="1"/>
  <c r="VZW53" i="7" s="1"/>
  <c r="VZX53" i="7" s="1"/>
  <c r="VZY53" i="7" s="1"/>
  <c r="VZZ53" i="7" s="1"/>
  <c r="WAA53" i="7" s="1"/>
  <c r="WAB53" i="7" s="1"/>
  <c r="WAC53" i="7" s="1"/>
  <c r="WAD53" i="7" s="1"/>
  <c r="WAE53" i="7" s="1"/>
  <c r="WAF53" i="7" s="1"/>
  <c r="WAG53" i="7" s="1"/>
  <c r="WAH53" i="7" s="1"/>
  <c r="WAI53" i="7" s="1"/>
  <c r="WAJ53" i="7" s="1"/>
  <c r="WAK53" i="7" s="1"/>
  <c r="WAL53" i="7" s="1"/>
  <c r="WAM53" i="7" s="1"/>
  <c r="WAN53" i="7" s="1"/>
  <c r="WAO53" i="7" s="1"/>
  <c r="WAP53" i="7" s="1"/>
  <c r="WAQ53" i="7" s="1"/>
  <c r="WAR53" i="7" s="1"/>
  <c r="WAS53" i="7" s="1"/>
  <c r="WAT53" i="7" s="1"/>
  <c r="WAU53" i="7" s="1"/>
  <c r="WAV53" i="7" s="1"/>
  <c r="WAW53" i="7" s="1"/>
  <c r="WAX53" i="7" s="1"/>
  <c r="WAY53" i="7" s="1"/>
  <c r="WAZ53" i="7" s="1"/>
  <c r="WBA53" i="7" s="1"/>
  <c r="WBB53" i="7" s="1"/>
  <c r="WBC53" i="7" s="1"/>
  <c r="WBD53" i="7" s="1"/>
  <c r="WBE53" i="7" s="1"/>
  <c r="WBF53" i="7" s="1"/>
  <c r="WBG53" i="7" s="1"/>
  <c r="WBH53" i="7" s="1"/>
  <c r="WBI53" i="7" s="1"/>
  <c r="WBJ53" i="7" s="1"/>
  <c r="WBK53" i="7" s="1"/>
  <c r="WBL53" i="7" s="1"/>
  <c r="WBM53" i="7" s="1"/>
  <c r="WBN53" i="7" s="1"/>
  <c r="WBO53" i="7" s="1"/>
  <c r="WBP53" i="7" s="1"/>
  <c r="WBQ53" i="7" s="1"/>
  <c r="WBR53" i="7" s="1"/>
  <c r="WBS53" i="7" s="1"/>
  <c r="WBT53" i="7" s="1"/>
  <c r="WBU53" i="7" s="1"/>
  <c r="WBV53" i="7" s="1"/>
  <c r="WBW53" i="7" s="1"/>
  <c r="WBX53" i="7" s="1"/>
  <c r="WBY53" i="7" s="1"/>
  <c r="WBZ53" i="7" s="1"/>
  <c r="WCA53" i="7" s="1"/>
  <c r="WCB53" i="7" s="1"/>
  <c r="WCC53" i="7" s="1"/>
  <c r="WCD53" i="7" s="1"/>
  <c r="WCE53" i="7" s="1"/>
  <c r="WCF53" i="7" s="1"/>
  <c r="WCG53" i="7" s="1"/>
  <c r="WCH53" i="7" s="1"/>
  <c r="WCI53" i="7" s="1"/>
  <c r="WCJ53" i="7" s="1"/>
  <c r="WCK53" i="7" s="1"/>
  <c r="WCL53" i="7" s="1"/>
  <c r="WCM53" i="7" s="1"/>
  <c r="WCN53" i="7" s="1"/>
  <c r="WCO53" i="7" s="1"/>
  <c r="WCP53" i="7" s="1"/>
  <c r="WCQ53" i="7" s="1"/>
  <c r="WCR53" i="7" s="1"/>
  <c r="WCS53" i="7" s="1"/>
  <c r="WCT53" i="7" s="1"/>
  <c r="WCU53" i="7" s="1"/>
  <c r="WCV53" i="7" s="1"/>
  <c r="WCW53" i="7" s="1"/>
  <c r="WCX53" i="7" s="1"/>
  <c r="WCY53" i="7" s="1"/>
  <c r="WCZ53" i="7" s="1"/>
  <c r="WDA53" i="7" s="1"/>
  <c r="WDB53" i="7" s="1"/>
  <c r="WDC53" i="7" s="1"/>
  <c r="WDD53" i="7" s="1"/>
  <c r="WDE53" i="7" s="1"/>
  <c r="WDF53" i="7" s="1"/>
  <c r="WDG53" i="7" s="1"/>
  <c r="WDH53" i="7" s="1"/>
  <c r="WDI53" i="7" s="1"/>
  <c r="WDJ53" i="7" s="1"/>
  <c r="WDK53" i="7" s="1"/>
  <c r="WDL53" i="7" s="1"/>
  <c r="WDM53" i="7" s="1"/>
  <c r="WDN53" i="7" s="1"/>
  <c r="WDO53" i="7" s="1"/>
  <c r="WDP53" i="7" s="1"/>
  <c r="WDQ53" i="7" s="1"/>
  <c r="WDR53" i="7" s="1"/>
  <c r="WDS53" i="7" s="1"/>
  <c r="WDT53" i="7" s="1"/>
  <c r="WDU53" i="7" s="1"/>
  <c r="WDV53" i="7" s="1"/>
  <c r="WDW53" i="7" s="1"/>
  <c r="WDX53" i="7" s="1"/>
  <c r="WDY53" i="7" s="1"/>
  <c r="WDZ53" i="7" s="1"/>
  <c r="WEA53" i="7" s="1"/>
  <c r="WEB53" i="7" s="1"/>
  <c r="WEC53" i="7" s="1"/>
  <c r="WED53" i="7" s="1"/>
  <c r="WEE53" i="7" s="1"/>
  <c r="WEF53" i="7" s="1"/>
  <c r="WEG53" i="7" s="1"/>
  <c r="WEH53" i="7" s="1"/>
  <c r="WEI53" i="7" s="1"/>
  <c r="WEJ53" i="7" s="1"/>
  <c r="WEK53" i="7" s="1"/>
  <c r="WEL53" i="7" s="1"/>
  <c r="WEM53" i="7" s="1"/>
  <c r="WEN53" i="7" s="1"/>
  <c r="WEO53" i="7" s="1"/>
  <c r="WEP53" i="7" s="1"/>
  <c r="WEQ53" i="7" s="1"/>
  <c r="WER53" i="7" s="1"/>
  <c r="WES53" i="7" s="1"/>
  <c r="WET53" i="7" s="1"/>
  <c r="WEU53" i="7" s="1"/>
  <c r="WEV53" i="7" s="1"/>
  <c r="WEW53" i="7" s="1"/>
  <c r="WEX53" i="7" s="1"/>
  <c r="WEY53" i="7" s="1"/>
  <c r="WEZ53" i="7" s="1"/>
  <c r="WFA53" i="7" s="1"/>
  <c r="WFB53" i="7" s="1"/>
  <c r="WFC53" i="7" s="1"/>
  <c r="WFD53" i="7" s="1"/>
  <c r="WFE53" i="7" s="1"/>
  <c r="WFF53" i="7" s="1"/>
  <c r="WFG53" i="7" s="1"/>
  <c r="WFH53" i="7" s="1"/>
  <c r="WFI53" i="7" s="1"/>
  <c r="WFJ53" i="7" s="1"/>
  <c r="WFK53" i="7" s="1"/>
  <c r="WFL53" i="7" s="1"/>
  <c r="WFM53" i="7" s="1"/>
  <c r="WFN53" i="7" s="1"/>
  <c r="WFO53" i="7" s="1"/>
  <c r="WFP53" i="7" s="1"/>
  <c r="WFQ53" i="7" s="1"/>
  <c r="WFR53" i="7" s="1"/>
  <c r="WFS53" i="7" s="1"/>
  <c r="WFT53" i="7" s="1"/>
  <c r="WFU53" i="7" s="1"/>
  <c r="WFV53" i="7" s="1"/>
  <c r="WFW53" i="7" s="1"/>
  <c r="WFX53" i="7" s="1"/>
  <c r="WFY53" i="7" s="1"/>
  <c r="WFZ53" i="7" s="1"/>
  <c r="WGA53" i="7" s="1"/>
  <c r="WGB53" i="7" s="1"/>
  <c r="WGC53" i="7" s="1"/>
  <c r="WGD53" i="7" s="1"/>
  <c r="WGE53" i="7" s="1"/>
  <c r="WGF53" i="7" s="1"/>
  <c r="WGG53" i="7" s="1"/>
  <c r="WGH53" i="7" s="1"/>
  <c r="WGI53" i="7" s="1"/>
  <c r="WGJ53" i="7" s="1"/>
  <c r="WGK53" i="7" s="1"/>
  <c r="WGL53" i="7" s="1"/>
  <c r="WGM53" i="7" s="1"/>
  <c r="WGN53" i="7" s="1"/>
  <c r="WGO53" i="7" s="1"/>
  <c r="WGP53" i="7" s="1"/>
  <c r="WGQ53" i="7" s="1"/>
  <c r="WGR53" i="7" s="1"/>
  <c r="WGS53" i="7" s="1"/>
  <c r="WGT53" i="7" s="1"/>
  <c r="WGU53" i="7" s="1"/>
  <c r="WGV53" i="7" s="1"/>
  <c r="WGW53" i="7" s="1"/>
  <c r="WGX53" i="7" s="1"/>
  <c r="WGY53" i="7" s="1"/>
  <c r="WGZ53" i="7" s="1"/>
  <c r="WHA53" i="7" s="1"/>
  <c r="WHB53" i="7" s="1"/>
  <c r="WHC53" i="7" s="1"/>
  <c r="WHD53" i="7" s="1"/>
  <c r="WHE53" i="7" s="1"/>
  <c r="WHF53" i="7" s="1"/>
  <c r="WHG53" i="7" s="1"/>
  <c r="WHH53" i="7" s="1"/>
  <c r="WHI53" i="7" s="1"/>
  <c r="WHJ53" i="7" s="1"/>
  <c r="WHK53" i="7" s="1"/>
  <c r="WHL53" i="7" s="1"/>
  <c r="WHM53" i="7" s="1"/>
  <c r="WHN53" i="7" s="1"/>
  <c r="WHO53" i="7" s="1"/>
  <c r="WHP53" i="7" s="1"/>
  <c r="WHQ53" i="7" s="1"/>
  <c r="WHR53" i="7" s="1"/>
  <c r="WHS53" i="7" s="1"/>
  <c r="WHT53" i="7" s="1"/>
  <c r="WHU53" i="7" s="1"/>
  <c r="WHV53" i="7" s="1"/>
  <c r="WHW53" i="7" s="1"/>
  <c r="WHX53" i="7" s="1"/>
  <c r="WHY53" i="7" s="1"/>
  <c r="WHZ53" i="7" s="1"/>
  <c r="WIA53" i="7" s="1"/>
  <c r="WIB53" i="7" s="1"/>
  <c r="WIC53" i="7" s="1"/>
  <c r="WID53" i="7" s="1"/>
  <c r="WIE53" i="7" s="1"/>
  <c r="WIF53" i="7" s="1"/>
  <c r="WIG53" i="7" s="1"/>
  <c r="WIH53" i="7" s="1"/>
  <c r="WII53" i="7" s="1"/>
  <c r="WIJ53" i="7" s="1"/>
  <c r="WIK53" i="7" s="1"/>
  <c r="WIL53" i="7" s="1"/>
  <c r="WIM53" i="7" s="1"/>
  <c r="WIN53" i="7" s="1"/>
  <c r="WIO53" i="7" s="1"/>
  <c r="WIP53" i="7" s="1"/>
  <c r="WIQ53" i="7" s="1"/>
  <c r="WIR53" i="7" s="1"/>
  <c r="WIS53" i="7" s="1"/>
  <c r="WIT53" i="7" s="1"/>
  <c r="WIU53" i="7" s="1"/>
  <c r="WIV53" i="7" s="1"/>
  <c r="WIW53" i="7" s="1"/>
  <c r="WIX53" i="7" s="1"/>
  <c r="WIY53" i="7" s="1"/>
  <c r="WIZ53" i="7" s="1"/>
  <c r="WJA53" i="7" s="1"/>
  <c r="WJB53" i="7" s="1"/>
  <c r="WJC53" i="7" s="1"/>
  <c r="WJD53" i="7" s="1"/>
  <c r="WJE53" i="7" s="1"/>
  <c r="WJF53" i="7" s="1"/>
  <c r="WJG53" i="7" s="1"/>
  <c r="WJH53" i="7" s="1"/>
  <c r="WJI53" i="7" s="1"/>
  <c r="WJJ53" i="7" s="1"/>
  <c r="WJK53" i="7" s="1"/>
  <c r="WJL53" i="7" s="1"/>
  <c r="WJM53" i="7" s="1"/>
  <c r="WJN53" i="7" s="1"/>
  <c r="WJO53" i="7" s="1"/>
  <c r="WJP53" i="7" s="1"/>
  <c r="WJQ53" i="7" s="1"/>
  <c r="WJR53" i="7" s="1"/>
  <c r="WJS53" i="7" s="1"/>
  <c r="WJT53" i="7" s="1"/>
  <c r="WJU53" i="7" s="1"/>
  <c r="WJV53" i="7" s="1"/>
  <c r="WJW53" i="7" s="1"/>
  <c r="WJX53" i="7" s="1"/>
  <c r="WJY53" i="7" s="1"/>
  <c r="WJZ53" i="7" s="1"/>
  <c r="WKA53" i="7" s="1"/>
  <c r="WKB53" i="7" s="1"/>
  <c r="WKC53" i="7" s="1"/>
  <c r="WKD53" i="7" s="1"/>
  <c r="WKE53" i="7" s="1"/>
  <c r="WKF53" i="7" s="1"/>
  <c r="WKG53" i="7" s="1"/>
  <c r="WKH53" i="7" s="1"/>
  <c r="WKI53" i="7" s="1"/>
  <c r="WKJ53" i="7" s="1"/>
  <c r="WKK53" i="7" s="1"/>
  <c r="WKL53" i="7" s="1"/>
  <c r="WKM53" i="7" s="1"/>
  <c r="WKN53" i="7" s="1"/>
  <c r="WKO53" i="7" s="1"/>
  <c r="WKP53" i="7" s="1"/>
  <c r="WKQ53" i="7" s="1"/>
  <c r="WKR53" i="7" s="1"/>
  <c r="WKS53" i="7" s="1"/>
  <c r="WKT53" i="7" s="1"/>
  <c r="WKU53" i="7" s="1"/>
  <c r="WKV53" i="7" s="1"/>
  <c r="WKW53" i="7" s="1"/>
  <c r="WKX53" i="7" s="1"/>
  <c r="WKY53" i="7" s="1"/>
  <c r="WKZ53" i="7" s="1"/>
  <c r="WLA53" i="7" s="1"/>
  <c r="WLB53" i="7" s="1"/>
  <c r="WLC53" i="7" s="1"/>
  <c r="WLD53" i="7" s="1"/>
  <c r="WLE53" i="7" s="1"/>
  <c r="WLF53" i="7" s="1"/>
  <c r="WLG53" i="7" s="1"/>
  <c r="WLH53" i="7" s="1"/>
  <c r="WLI53" i="7" s="1"/>
  <c r="WLJ53" i="7" s="1"/>
  <c r="WLK53" i="7" s="1"/>
  <c r="WLL53" i="7" s="1"/>
  <c r="WLM53" i="7" s="1"/>
  <c r="WLN53" i="7" s="1"/>
  <c r="WLO53" i="7" s="1"/>
  <c r="WLP53" i="7" s="1"/>
  <c r="WLQ53" i="7" s="1"/>
  <c r="WLR53" i="7" s="1"/>
  <c r="WLS53" i="7" s="1"/>
  <c r="WLT53" i="7" s="1"/>
  <c r="WLU53" i="7" s="1"/>
  <c r="WLV53" i="7" s="1"/>
  <c r="WLW53" i="7" s="1"/>
  <c r="WLX53" i="7" s="1"/>
  <c r="WLY53" i="7" s="1"/>
  <c r="WLZ53" i="7" s="1"/>
  <c r="WMA53" i="7" s="1"/>
  <c r="WMB53" i="7" s="1"/>
  <c r="WMC53" i="7" s="1"/>
  <c r="WMD53" i="7" s="1"/>
  <c r="WME53" i="7" s="1"/>
  <c r="WMF53" i="7" s="1"/>
  <c r="WMG53" i="7" s="1"/>
  <c r="WMH53" i="7" s="1"/>
  <c r="WMI53" i="7" s="1"/>
  <c r="WMJ53" i="7" s="1"/>
  <c r="WMK53" i="7" s="1"/>
  <c r="WML53" i="7" s="1"/>
  <c r="WMM53" i="7" s="1"/>
  <c r="WMN53" i="7" s="1"/>
  <c r="WMO53" i="7" s="1"/>
  <c r="WMP53" i="7" s="1"/>
  <c r="WMQ53" i="7" s="1"/>
  <c r="WMR53" i="7" s="1"/>
  <c r="WMS53" i="7" s="1"/>
  <c r="WMT53" i="7" s="1"/>
  <c r="WMU53" i="7" s="1"/>
  <c r="WMV53" i="7" s="1"/>
  <c r="WMW53" i="7" s="1"/>
  <c r="WMX53" i="7" s="1"/>
  <c r="WMY53" i="7" s="1"/>
  <c r="WMZ53" i="7" s="1"/>
  <c r="WNA53" i="7" s="1"/>
  <c r="WNB53" i="7" s="1"/>
  <c r="WNC53" i="7" s="1"/>
  <c r="WND53" i="7" s="1"/>
  <c r="WNE53" i="7" s="1"/>
  <c r="WNF53" i="7" s="1"/>
  <c r="WNG53" i="7" s="1"/>
  <c r="WNH53" i="7" s="1"/>
  <c r="WNI53" i="7" s="1"/>
  <c r="WNJ53" i="7" s="1"/>
  <c r="WNK53" i="7" s="1"/>
  <c r="WNL53" i="7" s="1"/>
  <c r="WNM53" i="7" s="1"/>
  <c r="WNN53" i="7" s="1"/>
  <c r="WNO53" i="7" s="1"/>
  <c r="WNP53" i="7" s="1"/>
  <c r="WNQ53" i="7" s="1"/>
  <c r="WNR53" i="7" s="1"/>
  <c r="WNS53" i="7" s="1"/>
  <c r="WNT53" i="7" s="1"/>
  <c r="WNU53" i="7" s="1"/>
  <c r="WNV53" i="7" s="1"/>
  <c r="WNW53" i="7" s="1"/>
  <c r="WNX53" i="7" s="1"/>
  <c r="WNY53" i="7" s="1"/>
  <c r="WNZ53" i="7" s="1"/>
  <c r="WOA53" i="7" s="1"/>
  <c r="WOB53" i="7" s="1"/>
  <c r="WOC53" i="7" s="1"/>
  <c r="WOD53" i="7" s="1"/>
  <c r="WOE53" i="7" s="1"/>
  <c r="WOF53" i="7" s="1"/>
  <c r="WOG53" i="7" s="1"/>
  <c r="WOH53" i="7" s="1"/>
  <c r="WOI53" i="7" s="1"/>
  <c r="WOJ53" i="7" s="1"/>
  <c r="WOK53" i="7" s="1"/>
  <c r="WOL53" i="7" s="1"/>
  <c r="WOM53" i="7" s="1"/>
  <c r="WON53" i="7" s="1"/>
  <c r="WOO53" i="7" s="1"/>
  <c r="WOP53" i="7" s="1"/>
  <c r="WOQ53" i="7" s="1"/>
  <c r="WOR53" i="7" s="1"/>
  <c r="WOS53" i="7" s="1"/>
  <c r="WOT53" i="7" s="1"/>
  <c r="WOU53" i="7" s="1"/>
  <c r="WOV53" i="7" s="1"/>
  <c r="WOW53" i="7" s="1"/>
  <c r="WOX53" i="7" s="1"/>
  <c r="WOY53" i="7" s="1"/>
  <c r="WOZ53" i="7" s="1"/>
  <c r="WPA53" i="7" s="1"/>
  <c r="WPB53" i="7" s="1"/>
  <c r="WPC53" i="7" s="1"/>
  <c r="WPD53" i="7" s="1"/>
  <c r="WPE53" i="7" s="1"/>
  <c r="WPF53" i="7" s="1"/>
  <c r="WPG53" i="7" s="1"/>
  <c r="WPH53" i="7" s="1"/>
  <c r="WPI53" i="7" s="1"/>
  <c r="WPJ53" i="7" s="1"/>
  <c r="WPK53" i="7" s="1"/>
  <c r="WPL53" i="7" s="1"/>
  <c r="WPM53" i="7" s="1"/>
  <c r="WPN53" i="7" s="1"/>
  <c r="WPO53" i="7" s="1"/>
  <c r="WPP53" i="7" s="1"/>
  <c r="WPQ53" i="7" s="1"/>
  <c r="WPR53" i="7" s="1"/>
  <c r="WPS53" i="7" s="1"/>
  <c r="WPT53" i="7" s="1"/>
  <c r="WPU53" i="7" s="1"/>
  <c r="WPV53" i="7" s="1"/>
  <c r="WPW53" i="7" s="1"/>
  <c r="WPX53" i="7" s="1"/>
  <c r="WPY53" i="7" s="1"/>
  <c r="WPZ53" i="7" s="1"/>
  <c r="WQA53" i="7" s="1"/>
  <c r="WQB53" i="7" s="1"/>
  <c r="WQC53" i="7" s="1"/>
  <c r="WQD53" i="7" s="1"/>
  <c r="WQE53" i="7" s="1"/>
  <c r="WQF53" i="7" s="1"/>
  <c r="WQG53" i="7" s="1"/>
  <c r="WQH53" i="7" s="1"/>
  <c r="WQI53" i="7" s="1"/>
  <c r="WQJ53" i="7" s="1"/>
  <c r="WQK53" i="7" s="1"/>
  <c r="WQL53" i="7" s="1"/>
  <c r="WQM53" i="7" s="1"/>
  <c r="WQN53" i="7" s="1"/>
  <c r="WQO53" i="7" s="1"/>
  <c r="WQP53" i="7" s="1"/>
  <c r="WQQ53" i="7" s="1"/>
  <c r="WQR53" i="7" s="1"/>
  <c r="WQS53" i="7" s="1"/>
  <c r="WQT53" i="7" s="1"/>
  <c r="WQU53" i="7" s="1"/>
  <c r="WQV53" i="7" s="1"/>
  <c r="WQW53" i="7" s="1"/>
  <c r="WQX53" i="7" s="1"/>
  <c r="WQY53" i="7" s="1"/>
  <c r="WQZ53" i="7" s="1"/>
  <c r="WRA53" i="7" s="1"/>
  <c r="WRB53" i="7" s="1"/>
  <c r="WRC53" i="7" s="1"/>
  <c r="WRD53" i="7" s="1"/>
  <c r="WRE53" i="7" s="1"/>
  <c r="WRF53" i="7" s="1"/>
  <c r="WRG53" i="7" s="1"/>
  <c r="WRH53" i="7" s="1"/>
  <c r="WRI53" i="7" s="1"/>
  <c r="WRJ53" i="7" s="1"/>
  <c r="WRK53" i="7" s="1"/>
  <c r="WRL53" i="7" s="1"/>
  <c r="WRM53" i="7" s="1"/>
  <c r="WRN53" i="7" s="1"/>
  <c r="WRO53" i="7" s="1"/>
  <c r="WRP53" i="7" s="1"/>
  <c r="WRQ53" i="7" s="1"/>
  <c r="WRR53" i="7" s="1"/>
  <c r="WRS53" i="7" s="1"/>
  <c r="WRT53" i="7" s="1"/>
  <c r="WRU53" i="7" s="1"/>
  <c r="WRV53" i="7" s="1"/>
  <c r="WRW53" i="7" s="1"/>
  <c r="WRX53" i="7" s="1"/>
  <c r="WRY53" i="7" s="1"/>
  <c r="WRZ53" i="7" s="1"/>
  <c r="WSA53" i="7" s="1"/>
  <c r="WSB53" i="7" s="1"/>
  <c r="WSC53" i="7" s="1"/>
  <c r="WSD53" i="7" s="1"/>
  <c r="WSE53" i="7" s="1"/>
  <c r="WSF53" i="7" s="1"/>
  <c r="WSG53" i="7" s="1"/>
  <c r="WSH53" i="7" s="1"/>
  <c r="WSI53" i="7" s="1"/>
  <c r="WSJ53" i="7" s="1"/>
  <c r="WSK53" i="7" s="1"/>
  <c r="WSL53" i="7" s="1"/>
  <c r="WSM53" i="7" s="1"/>
  <c r="WSN53" i="7" s="1"/>
  <c r="WSO53" i="7" s="1"/>
  <c r="WSP53" i="7" s="1"/>
  <c r="WSQ53" i="7" s="1"/>
  <c r="WSR53" i="7" s="1"/>
  <c r="WSS53" i="7" s="1"/>
  <c r="WST53" i="7" s="1"/>
  <c r="WSU53" i="7" s="1"/>
  <c r="WSV53" i="7" s="1"/>
  <c r="WSW53" i="7" s="1"/>
  <c r="WSX53" i="7" s="1"/>
  <c r="WSY53" i="7" s="1"/>
  <c r="WSZ53" i="7" s="1"/>
  <c r="WTA53" i="7" s="1"/>
  <c r="WTB53" i="7" s="1"/>
  <c r="WTC53" i="7" s="1"/>
  <c r="WTD53" i="7" s="1"/>
  <c r="WTE53" i="7" s="1"/>
  <c r="WTF53" i="7" s="1"/>
  <c r="WTG53" i="7" s="1"/>
  <c r="WTH53" i="7" s="1"/>
  <c r="WTI53" i="7" s="1"/>
  <c r="WTJ53" i="7" s="1"/>
  <c r="WTK53" i="7" s="1"/>
  <c r="WTL53" i="7" s="1"/>
  <c r="WTM53" i="7" s="1"/>
  <c r="WTN53" i="7" s="1"/>
  <c r="WTO53" i="7" s="1"/>
  <c r="WTP53" i="7" s="1"/>
  <c r="WTQ53" i="7" s="1"/>
  <c r="WTR53" i="7" s="1"/>
  <c r="WTS53" i="7" s="1"/>
  <c r="WTT53" i="7" s="1"/>
  <c r="WTU53" i="7" s="1"/>
  <c r="WTV53" i="7" s="1"/>
  <c r="WTW53" i="7" s="1"/>
  <c r="WTX53" i="7" s="1"/>
  <c r="WTY53" i="7" s="1"/>
  <c r="WTZ53" i="7" s="1"/>
  <c r="WUA53" i="7" s="1"/>
  <c r="WUB53" i="7" s="1"/>
  <c r="WUC53" i="7" s="1"/>
  <c r="WUD53" i="7" s="1"/>
  <c r="WUE53" i="7" s="1"/>
  <c r="WUF53" i="7" s="1"/>
  <c r="WUG53" i="7" s="1"/>
  <c r="WUH53" i="7" s="1"/>
  <c r="WUI53" i="7" s="1"/>
  <c r="WUJ53" i="7" s="1"/>
  <c r="WUK53" i="7" s="1"/>
  <c r="WUL53" i="7" s="1"/>
  <c r="WUM53" i="7" s="1"/>
  <c r="WUN53" i="7" s="1"/>
  <c r="WUO53" i="7" s="1"/>
  <c r="WUP53" i="7" s="1"/>
  <c r="WUQ53" i="7" s="1"/>
  <c r="WUR53" i="7" s="1"/>
  <c r="WUS53" i="7" s="1"/>
  <c r="WUT53" i="7" s="1"/>
  <c r="WUU53" i="7" s="1"/>
  <c r="WUV53" i="7" s="1"/>
  <c r="WUW53" i="7" s="1"/>
  <c r="WUX53" i="7" s="1"/>
  <c r="WUY53" i="7" s="1"/>
  <c r="WUZ53" i="7" s="1"/>
  <c r="WVA53" i="7" s="1"/>
  <c r="WVB53" i="7" s="1"/>
  <c r="WVC53" i="7" s="1"/>
  <c r="WVD53" i="7" s="1"/>
  <c r="WVE53" i="7" s="1"/>
  <c r="WVF53" i="7" s="1"/>
  <c r="WVG53" i="7" s="1"/>
  <c r="WVH53" i="7" s="1"/>
  <c r="WVI53" i="7" s="1"/>
  <c r="WVJ53" i="7" s="1"/>
  <c r="WVK53" i="7" s="1"/>
  <c r="WVL53" i="7" s="1"/>
  <c r="WVM53" i="7" s="1"/>
  <c r="WVN53" i="7" s="1"/>
  <c r="WVO53" i="7" s="1"/>
  <c r="WVP53" i="7" s="1"/>
  <c r="WVQ53" i="7" s="1"/>
  <c r="WVR53" i="7" s="1"/>
  <c r="WVS53" i="7" s="1"/>
  <c r="WVT53" i="7" s="1"/>
  <c r="WVU53" i="7" s="1"/>
  <c r="WVV53" i="7" s="1"/>
  <c r="WVW53" i="7" s="1"/>
  <c r="WVX53" i="7" s="1"/>
  <c r="WVY53" i="7" s="1"/>
  <c r="WVZ53" i="7" s="1"/>
  <c r="WWA53" i="7" s="1"/>
  <c r="WWB53" i="7" s="1"/>
  <c r="WWC53" i="7" s="1"/>
  <c r="WWD53" i="7" s="1"/>
  <c r="WWE53" i="7" s="1"/>
  <c r="WWF53" i="7" s="1"/>
  <c r="WWG53" i="7" s="1"/>
  <c r="WWH53" i="7" s="1"/>
  <c r="WWI53" i="7" s="1"/>
  <c r="WWJ53" i="7" s="1"/>
  <c r="WWK53" i="7" s="1"/>
  <c r="WWL53" i="7" s="1"/>
  <c r="WWM53" i="7" s="1"/>
  <c r="WWN53" i="7" s="1"/>
  <c r="WWO53" i="7" s="1"/>
  <c r="WWP53" i="7" s="1"/>
  <c r="WWQ53" i="7" s="1"/>
  <c r="WWR53" i="7" s="1"/>
  <c r="WWS53" i="7" s="1"/>
  <c r="WWT53" i="7" s="1"/>
  <c r="WWU53" i="7" s="1"/>
  <c r="WWV53" i="7" s="1"/>
  <c r="WWW53" i="7" s="1"/>
  <c r="WWX53" i="7" s="1"/>
  <c r="WWY53" i="7" s="1"/>
  <c r="WWZ53" i="7" s="1"/>
  <c r="WXA53" i="7" s="1"/>
  <c r="WXB53" i="7" s="1"/>
  <c r="WXC53" i="7" s="1"/>
  <c r="WXD53" i="7" s="1"/>
  <c r="WXE53" i="7" s="1"/>
  <c r="WXF53" i="7" s="1"/>
  <c r="WXG53" i="7" s="1"/>
  <c r="WXH53" i="7" s="1"/>
  <c r="WXI53" i="7" s="1"/>
  <c r="WXJ53" i="7" s="1"/>
  <c r="WXK53" i="7" s="1"/>
  <c r="WXL53" i="7" s="1"/>
  <c r="WXM53" i="7" s="1"/>
  <c r="WXN53" i="7" s="1"/>
  <c r="WXO53" i="7" s="1"/>
  <c r="WXP53" i="7" s="1"/>
  <c r="WXQ53" i="7" s="1"/>
  <c r="WXR53" i="7" s="1"/>
  <c r="WXS53" i="7" s="1"/>
  <c r="WXT53" i="7" s="1"/>
  <c r="WXU53" i="7" s="1"/>
  <c r="WXV53" i="7" s="1"/>
  <c r="WXW53" i="7" s="1"/>
  <c r="WXX53" i="7" s="1"/>
  <c r="WXY53" i="7" s="1"/>
  <c r="WXZ53" i="7" s="1"/>
  <c r="WYA53" i="7" s="1"/>
  <c r="WYB53" i="7" s="1"/>
  <c r="WYC53" i="7" s="1"/>
  <c r="WYD53" i="7" s="1"/>
  <c r="WYE53" i="7" s="1"/>
  <c r="WYF53" i="7" s="1"/>
  <c r="WYG53" i="7" s="1"/>
  <c r="WYH53" i="7" s="1"/>
  <c r="WYI53" i="7" s="1"/>
  <c r="WYJ53" i="7" s="1"/>
  <c r="WYK53" i="7" s="1"/>
  <c r="WYL53" i="7" s="1"/>
  <c r="WYM53" i="7" s="1"/>
  <c r="WYN53" i="7" s="1"/>
  <c r="WYO53" i="7" s="1"/>
  <c r="WYP53" i="7" s="1"/>
  <c r="WYQ53" i="7" s="1"/>
  <c r="WYR53" i="7" s="1"/>
  <c r="WYS53" i="7" s="1"/>
  <c r="WYT53" i="7" s="1"/>
  <c r="WYU53" i="7" s="1"/>
  <c r="WYV53" i="7" s="1"/>
  <c r="WYW53" i="7" s="1"/>
  <c r="WYX53" i="7" s="1"/>
  <c r="WYY53" i="7" s="1"/>
  <c r="WYZ53" i="7" s="1"/>
  <c r="WZA53" i="7" s="1"/>
  <c r="WZB53" i="7" s="1"/>
  <c r="WZC53" i="7" s="1"/>
  <c r="WZD53" i="7" s="1"/>
  <c r="WZE53" i="7" s="1"/>
  <c r="WZF53" i="7" s="1"/>
  <c r="WZG53" i="7" s="1"/>
  <c r="WZH53" i="7" s="1"/>
  <c r="WZI53" i="7" s="1"/>
  <c r="WZJ53" i="7" s="1"/>
  <c r="WZK53" i="7" s="1"/>
  <c r="WZL53" i="7" s="1"/>
  <c r="WZM53" i="7" s="1"/>
  <c r="WZN53" i="7" s="1"/>
  <c r="WZO53" i="7" s="1"/>
  <c r="WZP53" i="7" s="1"/>
  <c r="WZQ53" i="7" s="1"/>
  <c r="WZR53" i="7" s="1"/>
  <c r="WZS53" i="7" s="1"/>
  <c r="WZT53" i="7" s="1"/>
  <c r="WZU53" i="7" s="1"/>
  <c r="WZV53" i="7" s="1"/>
  <c r="WZW53" i="7" s="1"/>
  <c r="WZX53" i="7" s="1"/>
  <c r="WZY53" i="7" s="1"/>
  <c r="WZZ53" i="7" s="1"/>
  <c r="XAA53" i="7" s="1"/>
  <c r="XAB53" i="7" s="1"/>
  <c r="XAC53" i="7" s="1"/>
  <c r="XAD53" i="7" s="1"/>
  <c r="XAE53" i="7" s="1"/>
  <c r="XAF53" i="7" s="1"/>
  <c r="XAG53" i="7" s="1"/>
  <c r="XAH53" i="7" s="1"/>
  <c r="XAI53" i="7" s="1"/>
  <c r="XAJ53" i="7" s="1"/>
  <c r="XAK53" i="7" s="1"/>
  <c r="XAL53" i="7" s="1"/>
  <c r="XAM53" i="7" s="1"/>
  <c r="XAN53" i="7" s="1"/>
  <c r="XAO53" i="7" s="1"/>
  <c r="XAP53" i="7" s="1"/>
  <c r="XAQ53" i="7" s="1"/>
  <c r="XAR53" i="7" s="1"/>
  <c r="XAS53" i="7" s="1"/>
  <c r="XAT53" i="7" s="1"/>
  <c r="XAU53" i="7" s="1"/>
  <c r="XAV53" i="7" s="1"/>
  <c r="XAW53" i="7" s="1"/>
  <c r="XAX53" i="7" s="1"/>
  <c r="XAY53" i="7" s="1"/>
  <c r="XAZ53" i="7" s="1"/>
  <c r="XBA53" i="7" s="1"/>
  <c r="XBB53" i="7" s="1"/>
  <c r="XBC53" i="7" s="1"/>
  <c r="XBD53" i="7" s="1"/>
  <c r="XBE53" i="7" s="1"/>
  <c r="XBF53" i="7" s="1"/>
  <c r="XBG53" i="7" s="1"/>
  <c r="XBH53" i="7" s="1"/>
  <c r="XBI53" i="7" s="1"/>
  <c r="XBJ53" i="7" s="1"/>
  <c r="XBK53" i="7" s="1"/>
  <c r="XBL53" i="7" s="1"/>
  <c r="XBM53" i="7" s="1"/>
  <c r="XBN53" i="7" s="1"/>
  <c r="XBO53" i="7" s="1"/>
  <c r="XBP53" i="7" s="1"/>
  <c r="XBQ53" i="7" s="1"/>
  <c r="XBR53" i="7" s="1"/>
  <c r="XBS53" i="7" s="1"/>
  <c r="XBT53" i="7" s="1"/>
  <c r="XBU53" i="7" s="1"/>
  <c r="XBV53" i="7" s="1"/>
  <c r="XBW53" i="7" s="1"/>
  <c r="XBX53" i="7" s="1"/>
  <c r="XBY53" i="7" s="1"/>
  <c r="XBZ53" i="7" s="1"/>
  <c r="XCA53" i="7" s="1"/>
  <c r="XCB53" i="7" s="1"/>
  <c r="XCC53" i="7" s="1"/>
  <c r="XCD53" i="7" s="1"/>
  <c r="XCE53" i="7" s="1"/>
  <c r="XCF53" i="7" s="1"/>
  <c r="XCG53" i="7" s="1"/>
  <c r="XCH53" i="7" s="1"/>
  <c r="XCI53" i="7" s="1"/>
  <c r="XCJ53" i="7" s="1"/>
  <c r="XCK53" i="7" s="1"/>
  <c r="XCL53" i="7" s="1"/>
  <c r="XCM53" i="7" s="1"/>
  <c r="XCN53" i="7" s="1"/>
  <c r="XCO53" i="7" s="1"/>
  <c r="XCP53" i="7" s="1"/>
  <c r="XCQ53" i="7" s="1"/>
  <c r="XCR53" i="7" s="1"/>
  <c r="XCS53" i="7" s="1"/>
  <c r="XCT53" i="7" s="1"/>
  <c r="XCU53" i="7" s="1"/>
  <c r="XCV53" i="7" s="1"/>
  <c r="XCW53" i="7" s="1"/>
  <c r="XCX53" i="7" s="1"/>
  <c r="XCY53" i="7" s="1"/>
  <c r="XCZ53" i="7" s="1"/>
  <c r="XDA53" i="7" s="1"/>
  <c r="XDB53" i="7" s="1"/>
  <c r="XDC53" i="7" s="1"/>
  <c r="XDD53" i="7" s="1"/>
  <c r="XDE53" i="7" s="1"/>
  <c r="XDF53" i="7" s="1"/>
  <c r="XDG53" i="7" s="1"/>
  <c r="XDH53" i="7" s="1"/>
  <c r="XDI53" i="7" s="1"/>
  <c r="XDJ53" i="7" s="1"/>
  <c r="XDK53" i="7" s="1"/>
  <c r="XDL53" i="7" s="1"/>
  <c r="XDM53" i="7" s="1"/>
  <c r="XDN53" i="7" s="1"/>
  <c r="XDO53" i="7" s="1"/>
  <c r="XDP53" i="7" s="1"/>
  <c r="XDQ53" i="7" s="1"/>
  <c r="XDR53" i="7" s="1"/>
  <c r="XDS53" i="7" s="1"/>
  <c r="XDT53" i="7" s="1"/>
  <c r="XDU53" i="7" s="1"/>
  <c r="XDV53" i="7" s="1"/>
  <c r="XDW53" i="7" s="1"/>
  <c r="XDX53" i="7" s="1"/>
  <c r="XDY53" i="7" s="1"/>
  <c r="XDZ53" i="7" s="1"/>
  <c r="XEA53" i="7" s="1"/>
  <c r="XEB53" i="7" s="1"/>
  <c r="XEC53" i="7" s="1"/>
  <c r="XED53" i="7" s="1"/>
  <c r="XEE53" i="7" s="1"/>
  <c r="XEF53" i="7" s="1"/>
  <c r="XEG53" i="7" s="1"/>
  <c r="XEH53" i="7" s="1"/>
  <c r="XEI53" i="7" s="1"/>
  <c r="XEJ53" i="7" s="1"/>
  <c r="XEK53" i="7" s="1"/>
  <c r="XEL53" i="7" s="1"/>
  <c r="XEM53" i="7" s="1"/>
  <c r="XEN53" i="7" s="1"/>
  <c r="XEO53" i="7" s="1"/>
  <c r="XEP53" i="7" s="1"/>
  <c r="XEQ53" i="7" s="1"/>
  <c r="XER53" i="7" s="1"/>
  <c r="XES53" i="7" s="1"/>
  <c r="XET53" i="7" s="1"/>
  <c r="XEU53" i="7" s="1"/>
  <c r="XEV53" i="7" s="1"/>
  <c r="XEW53" i="7" s="1"/>
  <c r="XEX53" i="7" s="1"/>
  <c r="XEY53" i="7" s="1"/>
  <c r="XEZ53" i="7" s="1"/>
  <c r="XFA53" i="7" s="1"/>
  <c r="XFB53" i="7" s="1"/>
  <c r="XFC53" i="7" s="1"/>
  <c r="XFD53" i="7" s="1"/>
  <c r="O65" i="7"/>
  <c r="O67" i="7" s="1"/>
  <c r="P62" i="7"/>
  <c r="P59" i="7"/>
  <c r="Q57" i="7"/>
  <c r="S48" i="7"/>
  <c r="S47" i="7"/>
  <c r="P65" i="7" l="1"/>
  <c r="P67" i="7" s="1"/>
  <c r="S54" i="7"/>
  <c r="S55" i="7" s="1"/>
  <c r="S57" i="7" s="1"/>
  <c r="Q59" i="7"/>
  <c r="Q62" i="7"/>
  <c r="R57" i="7"/>
  <c r="S59" i="7" l="1"/>
  <c r="S62" i="7"/>
  <c r="S65" i="7" s="1"/>
  <c r="S67" i="7" s="1"/>
  <c r="Q65" i="7"/>
  <c r="Q67" i="7" s="1"/>
  <c r="R59" i="7"/>
  <c r="R62" i="7"/>
  <c r="BH753" i="3"/>
  <c r="AC753" i="3" s="1"/>
  <c r="BE42" i="3" l="1"/>
  <c r="R65" i="7"/>
  <c r="R67" i="7" s="1"/>
  <c r="E93" i="20"/>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3" authorId="0" shapeId="0" xr:uid="{E18D0BA4-8DE3-2B4F-9D52-6134E8402148}">
      <text>
        <r>
          <rPr>
            <sz val="9"/>
            <color rgb="FF000000"/>
            <rFont val="Tahoma"/>
            <family val="2"/>
          </rPr>
          <t>INSERT PERCENTAGE SHARE OF RESIDUAL RECEIPTS CASH FLOW</t>
        </r>
      </text>
    </comment>
    <comment ref="C59" authorId="0" shapeId="0" xr:uid="{00000000-0006-0000-0C00-000001000000}">
      <text>
        <r>
          <rPr>
            <sz val="9"/>
            <color rgb="FF000000"/>
            <rFont val="Tahoma"/>
            <family val="2"/>
          </rPr>
          <t>INSERT PERCENTAGE SHARE OF RESIDUAL RECEIPTS CASH FLOW</t>
        </r>
      </text>
    </comment>
    <comment ref="C61"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<sst xmlns="http://schemas.openxmlformats.org/spreadsheetml/2006/main" count="5032" uniqueCount="2765">
  <si>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</si>
  <si>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</si>
  <si>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</si>
  <si>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</si>
  <si>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</si>
  <si>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</si>
  <si>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</si>
  <si>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</si>
  <si>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</si>
  <si>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</si>
  <si>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</si>
  <si>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</si>
  <si>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</si>
  <si>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</si>
  <si>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</si>
  <si>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</si>
  <si>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</si>
  <si>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</si>
  <si>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</si>
  <si>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</si>
  <si>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</si>
  <si>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</si>
  <si>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</si>
  <si>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</si>
  <si>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</si>
  <si>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</si>
  <si>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</si>
  <si>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</si>
  <si>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</si>
  <si>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</si>
  <si>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</si>
  <si>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</si>
  <si>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</si>
  <si>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</si>
  <si>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</si>
  <si>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</si>
  <si>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</si>
  <si>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</si>
  <si>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</si>
  <si>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</si>
  <si>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</si>
  <si>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</si>
  <si>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</si>
  <si>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</si>
  <si>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</si>
  <si>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</si>
  <si>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</si>
  <si>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</si>
  <si>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</si>
  <si>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</si>
  <si>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</si>
  <si>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</si>
  <si>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</si>
  <si>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</si>
  <si>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</si>
  <si>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</si>
  <si>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</si>
  <si>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</si>
  <si>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</si>
  <si>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</si>
  <si>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</si>
  <si>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</si>
  <si>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</si>
  <si>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</si>
  <si>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</si>
  <si>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</si>
  <si>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</si>
  <si>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</si>
  <si>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</si>
  <si>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</si>
  <si>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</si>
  <si>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</si>
  <si>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</si>
  <si>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</si>
  <si>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</si>
  <si>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</si>
  <si>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</si>
  <si>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</si>
  <si>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</si>
  <si>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</si>
  <si>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</si>
  <si>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</si>
  <si>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</si>
  <si>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</si>
  <si>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</si>
  <si>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</si>
  <si>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</si>
  <si>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</si>
  <si>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</si>
  <si>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</si>
  <si>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</si>
  <si>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</si>
  <si>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</si>
  <si>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</si>
  <si>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</si>
  <si>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</si>
  <si>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</si>
  <si>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</si>
  <si>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</si>
  <si>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</si>
  <si>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</si>
  <si>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</si>
  <si>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</si>
  <si>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</si>
  <si>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</si>
  <si>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</si>
  <si>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</si>
  <si>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</si>
  <si>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</si>
  <si>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</si>
  <si>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</si>
  <si>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</si>
  <si>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</si>
  <si>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</si>
  <si>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</si>
  <si>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</si>
  <si>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</si>
  <si>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</si>
  <si>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</si>
  <si>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</si>
  <si>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</si>
  <si>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</si>
  <si>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</si>
  <si>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</si>
  <si>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</si>
  <si>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</si>
  <si>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</si>
  <si>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</si>
  <si>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</si>
  <si>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</si>
  <si>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</si>
  <si>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</si>
  <si>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</si>
  <si>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</si>
  <si>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</si>
  <si>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</si>
  <si>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</si>
  <si>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</si>
  <si>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</si>
  <si>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</si>
  <si>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</si>
  <si>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</si>
  <si>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</si>
  <si>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</si>
  <si>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</si>
  <si>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</si>
  <si>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</si>
  <si>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</si>
  <si>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</si>
  <si>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</si>
  <si>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</si>
  <si>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</si>
  <si>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</si>
  <si>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</si>
  <si>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</si>
  <si>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</si>
  <si>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</si>
  <si>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</si>
  <si>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</si>
  <si>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</si>
  <si>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</si>
  <si>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</si>
  <si>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</si>
  <si>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</si>
  <si>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</si>
  <si>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</si>
  <si>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</si>
  <si>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</si>
  <si>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</si>
  <si>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</si>
  <si>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</si>
  <si>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</si>
  <si>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</si>
  <si>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</si>
  <si>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</si>
  <si>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</si>
  <si>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</si>
  <si>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</si>
  <si>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</si>
  <si>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</si>
  <si>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</si>
  <si>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</si>
  <si>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</si>
  <si>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</si>
  <si>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</si>
  <si>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</si>
  <si>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</si>
  <si>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</si>
  <si>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</si>
  <si>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</si>
  <si>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</si>
  <si>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</si>
  <si>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</si>
  <si>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</si>
  <si>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</si>
  <si>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</si>
  <si>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</si>
  <si>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</si>
  <si>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</si>
  <si>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</si>
  <si>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</si>
  <si>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</si>
  <si>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</si>
  <si>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</si>
  <si>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</si>
  <si>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</si>
  <si>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</si>
  <si>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</si>
  <si>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</si>
  <si>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</si>
  <si>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</si>
  <si>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</si>
  <si>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</si>
  <si>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</si>
  <si>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</si>
  <si>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</si>
  <si>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</si>
  <si>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</si>
  <si>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</si>
  <si>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</si>
  <si>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</si>
  <si>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</si>
  <si>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</si>
  <si>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</si>
  <si>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</si>
  <si>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</si>
  <si>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</si>
  <si>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</si>
  <si>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</si>
  <si>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</si>
  <si>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</si>
  <si>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</si>
  <si>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</si>
  <si>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</si>
  <si>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</si>
  <si>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</si>
  <si>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</si>
  <si>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</si>
  <si>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</si>
  <si>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</si>
  <si>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</si>
  <si>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</si>
  <si>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</si>
  <si>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</si>
  <si>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</si>
  <si>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</si>
  <si>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</si>
  <si>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</si>
  <si>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</si>
  <si>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</si>
  <si>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</si>
  <si>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</si>
  <si>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</si>
  <si>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</si>
  <si>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</si>
  <si>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</si>
  <si>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</si>
  <si>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</si>
  <si>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</si>
  <si>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</si>
  <si>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</si>
  <si>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</si>
  <si>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</si>
  <si>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</si>
  <si>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</si>
  <si>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</si>
  <si>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</si>
  <si>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</si>
  <si>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</si>
  <si>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</si>
  <si>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</si>
  <si>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</si>
  <si>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</si>
  <si>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</si>
  <si>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</si>
  <si>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</si>
  <si>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</si>
  <si>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</si>
  <si>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</si>
  <si>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</si>
  <si>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</si>
  <si>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</si>
  <si>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</si>
  <si>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</si>
  <si>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</si>
  <si>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</si>
  <si>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</si>
  <si>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</si>
  <si>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</si>
  <si>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</si>
  <si>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</si>
  <si>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</si>
  <si>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</si>
  <si>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</si>
  <si>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</si>
  <si>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</si>
  <si>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</si>
  <si>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</si>
  <si>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</si>
  <si>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</si>
  <si>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</si>
  <si>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</si>
  <si>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</si>
  <si>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</si>
  <si>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</si>
  <si>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</si>
  <si>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</si>
  <si>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</si>
  <si>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</si>
  <si>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</si>
  <si>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</si>
  <si>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</si>
  <si>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</si>
  <si>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</si>
  <si>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</si>
  <si>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</si>
  <si>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</si>
  <si>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</si>
  <si>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</si>
  <si>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</si>
  <si>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</si>
  <si>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</si>
  <si>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</si>
  <si>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</si>
  <si>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</si>
  <si>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</si>
  <si>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</si>
  <si>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</si>
  <si>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</si>
  <si>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</si>
  <si>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</si>
  <si>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</si>
  <si>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</si>
  <si>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</si>
  <si>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</si>
  <si>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</si>
  <si>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</si>
  <si>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</si>
  <si>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</si>
  <si>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</si>
  <si>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</si>
  <si>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</si>
  <si>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</si>
  <si>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</si>
  <si>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</si>
  <si>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</si>
  <si>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</si>
  <si>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</si>
  <si>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</si>
  <si>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</si>
  <si>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</si>
  <si>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</si>
  <si>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</si>
  <si>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</si>
  <si>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</si>
  <si>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</si>
  <si>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</si>
  <si>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</si>
  <si>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</si>
  <si>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</si>
  <si>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</si>
  <si>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</si>
  <si>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</si>
  <si>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</si>
  <si>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</si>
  <si>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</si>
  <si>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</si>
  <si>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</si>
  <si>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</si>
  <si>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</si>
  <si>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</si>
  <si>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</si>
  <si>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</si>
  <si>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</si>
  <si>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</si>
  <si>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</si>
  <si>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</si>
  <si>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</si>
  <si>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</si>
  <si>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</si>
  <si>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</si>
  <si>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</si>
  <si>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</si>
  <si>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</si>
  <si>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</si>
  <si>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</si>
  <si>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</si>
  <si>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</si>
  <si>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</si>
  <si>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</si>
  <si>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</si>
  <si>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</si>
  <si>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</si>
  <si>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</si>
  <si>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</si>
  <si>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</si>
  <si>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</si>
  <si>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</si>
  <si>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</si>
  <si>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</si>
  <si>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</si>
  <si>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</si>
  <si>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</si>
  <si>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</si>
  <si>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</si>
  <si>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</si>
  <si>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</si>
  <si>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</si>
  <si>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</si>
  <si>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</si>
  <si>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</si>
  <si>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</si>
  <si>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</si>
  <si>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</si>
  <si>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</si>
  <si>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</si>
  <si>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</si>
  <si>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</si>
  <si>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</si>
  <si>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</si>
  <si>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</si>
  <si>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</si>
  <si>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</si>
  <si>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</si>
  <si>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</si>
  <si>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</si>
  <si>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</si>
  <si>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</si>
  <si>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</si>
  <si>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</si>
  <si>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</si>
  <si>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</si>
  <si>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</si>
  <si>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</si>
  <si>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</si>
  <si>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</si>
  <si>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</si>
  <si>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</si>
  <si>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</si>
  <si>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</si>
  <si>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</si>
  <si>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</si>
  <si>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</si>
  <si>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</si>
  <si>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</si>
  <si>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</si>
  <si>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</si>
  <si>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</si>
  <si>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</si>
  <si>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</si>
  <si>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</si>
  <si>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</si>
  <si>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</si>
  <si>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</si>
  <si>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</si>
  <si>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</si>
  <si>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</si>
  <si>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</si>
  <si>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</si>
  <si>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</si>
  <si>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</si>
  <si>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</si>
  <si>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</si>
  <si>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</si>
  <si>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</si>
  <si>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</si>
  <si>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</si>
  <si>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</si>
  <si>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</si>
  <si>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</si>
  <si>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</si>
  <si>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</si>
  <si>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</si>
  <si>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</si>
  <si>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</si>
  <si>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</si>
  <si>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</si>
  <si>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</si>
  <si>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(select one)</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</si>
  <si>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</si>
  <si>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</si>
  <si>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</si>
  <si>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</si>
  <si>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</si>
  <si>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</si>
  <si>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</si>
  <si>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</si>
  <si>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</si>
  <si>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</si>
  <si>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</si>
  <si>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</si>
  <si>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</si>
  <si>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</si>
  <si>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</si>
  <si>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</si>
  <si>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</si>
  <si>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</si>
  <si>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</si>
  <si>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</si>
  <si>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</si>
  <si>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</si>
  <si>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</si>
  <si>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</si>
  <si>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</si>
  <si>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</si>
  <si>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</si>
  <si>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</si>
  <si>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</si>
  <si>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</si>
  <si>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</si>
  <si>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</si>
  <si>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</si>
  <si>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</si>
  <si>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</si>
  <si>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</si>
  <si>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</si>
  <si>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</si>
  <si>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</si>
  <si>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</si>
  <si>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</si>
  <si>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</si>
  <si>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</si>
  <si>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</si>
  <si>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</si>
  <si>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</si>
  <si>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</si>
  <si>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</si>
  <si>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</si>
  <si>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</si>
  <si>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</si>
  <si>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</si>
  <si>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</si>
  <si>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</si>
  <si>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</si>
  <si>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</si>
  <si>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</si>
  <si>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</si>
  <si>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</si>
  <si>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</si>
  <si>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</si>
  <si>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</si>
  <si>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</si>
  <si>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</si>
  <si>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</si>
  <si>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</si>
  <si>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</si>
  <si>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</si>
  <si>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</si>
  <si>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</si>
  <si>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</si>
  <si>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</si>
  <si>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</si>
  <si>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</si>
  <si>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</si>
  <si>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</si>
  <si>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</si>
  <si>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</si>
  <si>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</si>
  <si>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</si>
  <si>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</si>
  <si>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</si>
  <si>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</si>
  <si>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</si>
  <si>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</si>
  <si>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</si>
  <si>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</si>
  <si>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</si>
  <si>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</si>
  <si>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</si>
  <si>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</si>
  <si>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</si>
  <si>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</si>
  <si>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</si>
  <si>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</si>
  <si>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</si>
  <si>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</si>
  <si>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</si>
  <si>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</si>
  <si>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</si>
  <si>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</si>
  <si>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</si>
  <si>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</si>
  <si>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</si>
  <si>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</si>
  <si>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</si>
  <si>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</si>
  <si>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</si>
  <si>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</si>
  <si>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</si>
  <si>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</si>
  <si>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</si>
  <si>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</si>
  <si>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</si>
  <si>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</si>
  <si>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</si>
  <si>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</si>
  <si>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</si>
  <si>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</si>
  <si>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</si>
  <si>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</si>
  <si>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</si>
  <si>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</si>
  <si>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</si>
  <si>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</si>
  <si>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</si>
  <si>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</si>
  <si>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</si>
  <si>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</si>
  <si>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</si>
  <si>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</si>
  <si>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</si>
  <si>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</si>
  <si>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</si>
  <si>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</si>
  <si>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</si>
  <si>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</si>
  <si>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</si>
  <si>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</si>
  <si>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</si>
  <si>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</si>
  <si>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</si>
  <si>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Need to Provide</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</si>
  <si>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</si>
  <si>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</si>
  <si>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</si>
  <si>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</si>
  <si>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</si>
  <si>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</si>
  <si>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</si>
  <si>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</si>
  <si>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</si>
  <si>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</si>
  <si>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</si>
  <si>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</si>
  <si>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</si>
  <si>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</si>
  <si>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</si>
  <si>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</si>
  <si>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</si>
  <si>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</si>
  <si>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</si>
  <si>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</si>
  <si>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</si>
  <si>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</si>
  <si>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</si>
  <si>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</si>
  <si>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</si>
  <si>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</si>
  <si>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</si>
  <si>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</si>
  <si>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</si>
  <si>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</si>
  <si>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</si>
  <si>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</si>
  <si>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</si>
  <si>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</si>
  <si>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</si>
  <si>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</si>
  <si>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</si>
  <si>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</si>
  <si>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</si>
  <si>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</si>
  <si>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</si>
  <si>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</si>
  <si>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</si>
  <si>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</si>
  <si>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</si>
  <si>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</si>
  <si>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Self-Help Enterprises</t>
  </si>
  <si>
    <t>MIP Amount</t>
  </si>
  <si>
    <t>PROJECT NAME:</t>
  </si>
  <si>
    <t>Crescent Meadows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</si>
  <si>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</si>
  <si>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</si>
  <si>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</si>
  <si>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</si>
  <si>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</si>
  <si>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</si>
  <si>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</si>
  <si>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</si>
  <si>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</si>
  <si>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</si>
  <si>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</si>
  <si>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</si>
  <si>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</si>
  <si>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</si>
  <si>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</si>
  <si>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</si>
  <si>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</si>
  <si>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</si>
  <si>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</si>
  <si>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</si>
  <si>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</si>
  <si>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</si>
  <si>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</si>
  <si>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</si>
  <si>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</si>
  <si>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</si>
  <si>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</si>
  <si>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</si>
  <si>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</si>
  <si>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</si>
  <si>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</si>
  <si>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</si>
  <si>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</si>
  <si>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</si>
  <si>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</si>
  <si>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</si>
  <si>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</si>
  <si>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</si>
  <si>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</si>
  <si>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</si>
  <si>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</si>
  <si>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</si>
  <si>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</si>
  <si>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</si>
  <si>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</si>
  <si>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</si>
  <si>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</si>
  <si>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</si>
  <si>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</si>
  <si>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</si>
  <si>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</si>
  <si>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</si>
  <si>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</si>
  <si>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</si>
  <si>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</si>
  <si>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</si>
  <si>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</si>
  <si>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</si>
  <si>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</si>
  <si>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</si>
  <si>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</si>
  <si>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</si>
  <si>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</si>
  <si>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</si>
  <si>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</si>
  <si>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</si>
  <si>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</si>
  <si>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</si>
  <si>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</si>
  <si>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</si>
  <si>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</si>
  <si>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</si>
  <si>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</si>
  <si>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</si>
  <si>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</si>
  <si>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</si>
  <si>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</si>
  <si>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</si>
  <si>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</si>
  <si>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</si>
  <si>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</si>
  <si>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</si>
  <si>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</si>
  <si>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</si>
  <si>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</si>
  <si>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</si>
  <si>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</si>
  <si>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</si>
  <si>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</si>
  <si>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</si>
  <si>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</si>
  <si>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</si>
  <si>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</si>
  <si>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</si>
  <si>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</si>
  <si>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</si>
  <si>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</si>
  <si>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</si>
  <si>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</si>
  <si>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</si>
  <si>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</si>
  <si>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</si>
  <si>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</si>
  <si>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</si>
  <si>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</si>
  <si>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</si>
  <si>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</si>
  <si>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</si>
  <si>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</si>
  <si>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</si>
  <si>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</si>
  <si>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</si>
  <si>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</si>
  <si>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</si>
  <si>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</si>
  <si>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</si>
  <si>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Visalia</t>
  </si>
  <si>
    <t>, California.</t>
  </si>
  <si>
    <t xml:space="preserve">By: </t>
  </si>
  <si>
    <t>(Original Signature)</t>
  </si>
  <si>
    <t>Thomas J. Collishaw</t>
  </si>
  <si>
    <t>(Typed or printed name)</t>
  </si>
  <si>
    <t xml:space="preserve">Application type: </t>
  </si>
  <si>
    <t>4%</t>
  </si>
  <si>
    <t xml:space="preserve">Please select your county: </t>
  </si>
  <si>
    <t>President / CEO</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</si>
  <si>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</si>
  <si>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</si>
  <si>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</si>
  <si>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</si>
  <si>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</si>
  <si>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</si>
  <si>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</si>
  <si>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Visalia</t>
  </si>
  <si>
    <t>Inland (Fresno, Imperial, Kern, Kings, Madera, Merced, Riverside, San Bernardino, Stanislaus, and Tulare Counties)</t>
  </si>
  <si>
    <t>4% 2025 TBLs</t>
  </si>
  <si>
    <t>9% 2025 TBLs</t>
  </si>
  <si>
    <t>City Manager:</t>
  </si>
  <si>
    <t>Leslie Caviglia</t>
  </si>
  <si>
    <t>Northern (Butte, El Dorado, Placer, Sacramento, San Joaquin, Shasta, Solano, Sutter, Yuba, and Yolo Counties)</t>
  </si>
  <si>
    <t>Title:</t>
  </si>
  <si>
    <t>City Manager</t>
  </si>
  <si>
    <t xml:space="preserve">Mailing Address: </t>
  </si>
  <si>
    <t>220 N. Santa Fe St.</t>
  </si>
  <si>
    <t>2024 100% RENTS</t>
  </si>
  <si>
    <t>2024 FAIR MARKET RENTS</t>
  </si>
  <si>
    <t xml:space="preserve">City: </t>
  </si>
  <si>
    <t>ALAMEDA</t>
  </si>
  <si>
    <t>Alameda</t>
  </si>
  <si>
    <t>California Tax Credit Allocation Committee</t>
  </si>
  <si>
    <t>Housing and Urban Development</t>
  </si>
  <si>
    <t xml:space="preserve">Zip Code: </t>
  </si>
  <si>
    <t>ALPINE</t>
  </si>
  <si>
    <t>Alpine</t>
  </si>
  <si>
    <t>Phone Number:</t>
  </si>
  <si>
    <t>559-713-4512</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</si>
  <si>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</si>
  <si>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</si>
  <si>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</si>
  <si>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</si>
  <si>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</si>
  <si>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</si>
  <si>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</si>
  <si>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</si>
  <si>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</si>
  <si>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</si>
  <si>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</si>
  <si>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</si>
  <si>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</si>
  <si>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</si>
  <si>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</si>
  <si>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</si>
  <si>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Leslie.Caviglia@visalai.gov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</si>
  <si>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</si>
  <si>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</si>
  <si>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</si>
  <si>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</si>
  <si>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</si>
  <si>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</si>
  <si>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</si>
  <si>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</si>
  <si>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</si>
  <si>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</si>
  <si>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</si>
  <si>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</si>
  <si>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</si>
  <si>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</si>
  <si>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</si>
  <si>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</si>
  <si>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</si>
  <si>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</si>
  <si>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</si>
  <si>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</si>
  <si>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</si>
  <si>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</si>
  <si>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</si>
  <si>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</si>
  <si>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</si>
  <si>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</si>
  <si>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</si>
  <si>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</si>
  <si>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</si>
  <si>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</si>
  <si>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</si>
  <si>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</si>
  <si>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</si>
  <si>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</si>
  <si>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</si>
  <si>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</si>
  <si>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</si>
  <si>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</si>
  <si>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</si>
  <si>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</si>
  <si>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</si>
  <si>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</si>
  <si>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</si>
  <si>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</si>
  <si>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</si>
  <si>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</si>
  <si>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</si>
  <si>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</si>
  <si>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</si>
  <si>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</si>
  <si>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</si>
  <si>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</si>
  <si>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</si>
  <si>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</si>
  <si>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</si>
  <si>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</si>
  <si>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</si>
  <si>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</si>
  <si>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</si>
  <si>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</si>
  <si>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</si>
  <si>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</si>
  <si>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</si>
  <si>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</si>
  <si>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</si>
  <si>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</si>
  <si>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</si>
  <si>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</si>
  <si>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</si>
  <si>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</si>
  <si>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</si>
  <si>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</si>
  <si>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</si>
  <si>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</si>
  <si>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</si>
  <si>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</si>
  <si>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</si>
  <si>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</si>
  <si>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</si>
  <si>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</si>
  <si>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</si>
  <si>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</si>
  <si>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NW corner of Ferguson Ave. and Dinuba Ave.</t>
  </si>
  <si>
    <t>PLACER</t>
  </si>
  <si>
    <t>Placer</t>
  </si>
  <si>
    <t>PLUMAS</t>
  </si>
  <si>
    <t>Plumas</t>
  </si>
  <si>
    <t>City:</t>
  </si>
  <si>
    <t>County:</t>
  </si>
  <si>
    <t>Tulare</t>
  </si>
  <si>
    <t>RIVERSIDE</t>
  </si>
  <si>
    <t>Riverside</t>
  </si>
  <si>
    <t>Zip Code:</t>
  </si>
  <si>
    <t>Census Tract:</t>
  </si>
  <si>
    <t>Large Family</t>
  </si>
  <si>
    <t>SACRAMENTO</t>
  </si>
  <si>
    <t>Sacramento</t>
  </si>
  <si>
    <t>Assessor's Parcel Number(s):</t>
  </si>
  <si>
    <t>090-060-063-000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</si>
  <si>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</si>
  <si>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</si>
  <si>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</si>
  <si>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</si>
  <si>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</si>
  <si>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</si>
  <si>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</si>
  <si>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</si>
  <si>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</si>
  <si>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</si>
  <si>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</si>
  <si>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</si>
  <si>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</si>
  <si>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</si>
  <si>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</si>
  <si>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</si>
  <si>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</si>
  <si>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</si>
  <si>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</si>
  <si>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</si>
  <si>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</si>
  <si>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</si>
  <si>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</si>
  <si>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</si>
  <si>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</si>
  <si>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</si>
  <si>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</si>
  <si>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</si>
  <si>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</si>
  <si>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</si>
  <si>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</si>
  <si>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</si>
  <si>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</si>
  <si>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</si>
  <si>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</si>
  <si>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</si>
  <si>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</si>
  <si>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</si>
  <si>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</si>
  <si>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</si>
  <si>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</si>
  <si>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</si>
  <si>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</si>
  <si>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</si>
  <si>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</si>
  <si>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</si>
  <si>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</si>
  <si>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</si>
  <si>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</si>
  <si>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</si>
  <si>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</si>
  <si>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</si>
  <si>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</si>
  <si>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</si>
  <si>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</si>
  <si>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</si>
  <si>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</si>
  <si>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</si>
  <si>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</si>
  <si>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</si>
  <si>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</si>
  <si>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</si>
  <si>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</si>
  <si>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</si>
  <si>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</si>
  <si>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</si>
  <si>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</si>
  <si>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</si>
  <si>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</si>
  <si>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</si>
  <si>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</si>
  <si>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</si>
  <si>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</si>
  <si>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</si>
  <si>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</si>
  <si>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</si>
  <si>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</si>
  <si>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</si>
  <si>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</si>
  <si>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</si>
  <si>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</si>
  <si>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</si>
  <si>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</si>
  <si>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</si>
  <si>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</si>
  <si>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</si>
  <si>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</si>
  <si>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</si>
  <si>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</si>
  <si>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</si>
  <si>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</si>
  <si>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</si>
  <si>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</si>
  <si>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</si>
  <si>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</si>
  <si>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</si>
  <si>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</si>
  <si>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</si>
  <si>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</si>
  <si>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</si>
  <si>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</si>
  <si>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</si>
  <si>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</si>
  <si>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</si>
  <si>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</si>
  <si>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</si>
  <si>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</si>
  <si>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</si>
  <si>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</si>
  <si>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</si>
  <si>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</si>
  <si>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</si>
  <si>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</si>
  <si>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</si>
  <si>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</si>
  <si>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</si>
  <si>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</si>
  <si>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</si>
  <si>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</si>
  <si>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</si>
  <si>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</si>
  <si>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Ct.</t>
  </si>
  <si>
    <t>State:</t>
  </si>
  <si>
    <t>CA</t>
  </si>
  <si>
    <t>Contact Person:</t>
  </si>
  <si>
    <t>Betsy McGovern-Garcia</t>
  </si>
  <si>
    <t>Phone:</t>
  </si>
  <si>
    <t>559-802-1653</t>
  </si>
  <si>
    <t>Ext.:</t>
  </si>
  <si>
    <t>Fax:</t>
  </si>
  <si>
    <t>both nonprofits</t>
  </si>
  <si>
    <t xml:space="preserve">Email: </t>
  </si>
  <si>
    <t>BetsyG@selfhelpenterprises.org</t>
  </si>
  <si>
    <t>Legal Status of Applicant:</t>
  </si>
  <si>
    <t>Parent Company:</t>
  </si>
  <si>
    <t>If Other, Specify:</t>
  </si>
  <si>
    <t>both for-profit</t>
  </si>
  <si>
    <t>General Partner(s) Information (post-closing GPs):</t>
  </si>
  <si>
    <t>D(1)</t>
  </si>
  <si>
    <t>General Partner Name:</t>
  </si>
  <si>
    <t>SHE Crescent Meadows LLC</t>
  </si>
  <si>
    <t>Managing GP</t>
  </si>
  <si>
    <t xml:space="preserve">8445 W. Elowin Court </t>
  </si>
  <si>
    <t>OWNERSHIP</t>
  </si>
  <si>
    <t>Nonprofit</t>
  </si>
  <si>
    <t>INTEREST (%):</t>
  </si>
  <si>
    <t>currently exists</t>
  </si>
  <si>
    <t>to be formed</t>
  </si>
  <si>
    <t>For Profit</t>
  </si>
  <si>
    <t>Nonprofit/For Profit:</t>
  </si>
  <si>
    <t>D(2)</t>
  </si>
  <si>
    <t>General Partner Name:*</t>
  </si>
  <si>
    <t>Visalia Senior Housing 3, LLC</t>
  </si>
  <si>
    <t>3900 W. Tulare Avenue</t>
  </si>
  <si>
    <t xml:space="preserve">Visalia </t>
  </si>
  <si>
    <t>Sharon Adams</t>
  </si>
  <si>
    <t>559-734-3275</t>
  </si>
  <si>
    <t>s.adams2004@comcast.net</t>
  </si>
  <si>
    <t>Visalia Senior Housing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</si>
  <si>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</si>
  <si>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</si>
  <si>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</si>
  <si>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</si>
  <si>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</si>
  <si>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</si>
  <si>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</si>
  <si>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</si>
  <si>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</si>
  <si>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8445 W. Elowin Court</t>
  </si>
  <si>
    <t>Betsy Mcgovern-Garcia</t>
  </si>
  <si>
    <t>Participatory Role:</t>
  </si>
  <si>
    <t>Developer / Sponsor</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</si>
  <si>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</si>
  <si>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</si>
  <si>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</si>
  <si>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</si>
  <si>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</si>
  <si>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</si>
  <si>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</si>
  <si>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</si>
  <si>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</si>
  <si>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Visalia, CA 93291</t>
  </si>
  <si>
    <t>City, State, Zip:</t>
  </si>
  <si>
    <t>Sacramento, CA 95811</t>
  </si>
  <si>
    <t>Renner Johnston</t>
  </si>
  <si>
    <t>916-443-1033</t>
  </si>
  <si>
    <t>559-651-3634</t>
  </si>
  <si>
    <t>Email:</t>
  </si>
  <si>
    <t>rjohnston@mogaveroarchitects.com</t>
  </si>
  <si>
    <t>Attorney:</t>
  </si>
  <si>
    <t>Law Offices of Gubb &amp; Barshay</t>
  </si>
  <si>
    <t>General Contractor:</t>
  </si>
  <si>
    <t>TBD</t>
  </si>
  <si>
    <t>235 Montgomery Street, Suite 1110</t>
  </si>
  <si>
    <t>San Francisco,CA 94104</t>
  </si>
  <si>
    <t>Lauren Fechter</t>
  </si>
  <si>
    <t>415-781-6600</t>
  </si>
  <si>
    <t>415-781-6967</t>
  </si>
  <si>
    <t>lfechter@gubbandbarshay.com</t>
  </si>
  <si>
    <t>Tax Professional:</t>
  </si>
  <si>
    <t>Energy Consultant:</t>
  </si>
  <si>
    <t>CPA:</t>
  </si>
  <si>
    <t>Thomas Tomaszewski</t>
  </si>
  <si>
    <t>Investor:</t>
  </si>
  <si>
    <t>3811 Tilden Drive</t>
  </si>
  <si>
    <t>El Dorado Hills, CA 95762</t>
  </si>
  <si>
    <t>916-804-5367</t>
  </si>
  <si>
    <t>tomcpa@directcon.net</t>
  </si>
  <si>
    <t>Consultant:</t>
  </si>
  <si>
    <t>California Housing Partnership</t>
  </si>
  <si>
    <t>Market Analyst:</t>
  </si>
  <si>
    <t>Raney Planning &amp; Management</t>
  </si>
  <si>
    <t>49 Stevenson Street, Suite 500</t>
  </si>
  <si>
    <t>1501 Sports Drive, Suite A</t>
  </si>
  <si>
    <t>San Francisco, CA 94105</t>
  </si>
  <si>
    <t>Sacramento, CA 95834</t>
  </si>
  <si>
    <t>Jesse Ozanian</t>
  </si>
  <si>
    <t>Stefanie Williams</t>
  </si>
  <si>
    <t>707-616-8366</t>
  </si>
  <si>
    <t>916-372-6100</t>
  </si>
  <si>
    <t>916-416-6108</t>
  </si>
  <si>
    <t>Jozanian@chpc.net</t>
  </si>
  <si>
    <t>swilliams@laurinassociates.com</t>
  </si>
  <si>
    <t>Appraiser:</t>
  </si>
  <si>
    <t>James G. Palmer Appraisals, Inc.</t>
  </si>
  <si>
    <t>CNA Consultant:</t>
  </si>
  <si>
    <t>1285 W. Shaw, Suite 108</t>
  </si>
  <si>
    <t>Fresno, CA 93711</t>
  </si>
  <si>
    <t>Gregg Palmer</t>
  </si>
  <si>
    <t>559-226-5020</t>
  </si>
  <si>
    <t>gregg@jgpinc.com</t>
  </si>
  <si>
    <t>Bond Issuer:</t>
  </si>
  <si>
    <t>California Municipal Finance Authority</t>
  </si>
  <si>
    <t>Prop. Mgmt. Co.:</t>
  </si>
  <si>
    <t>AWI Management Corporation</t>
  </si>
  <si>
    <t>2111 Palomar Airport Rd, Suite 320</t>
  </si>
  <si>
    <t>120 Center Street P.O. Box 550</t>
  </si>
  <si>
    <t>Carlsbad, CA 92011</t>
  </si>
  <si>
    <t>Auburn, CA 95604</t>
  </si>
  <si>
    <t>Anthony Stubbs</t>
  </si>
  <si>
    <t>Linda Frazier</t>
  </si>
  <si>
    <t>760-930-1333</t>
  </si>
  <si>
    <t>530-745-6255</t>
  </si>
  <si>
    <t>760-683-3390</t>
  </si>
  <si>
    <t>530-745-6171</t>
  </si>
  <si>
    <t>astubbs@cmfa-ca.com</t>
  </si>
  <si>
    <t>lfrazier@awimc.com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</si>
  <si>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</si>
  <si>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</si>
  <si>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</si>
  <si>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</si>
  <si>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</si>
  <si>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</si>
  <si>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</si>
  <si>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</si>
  <si>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</si>
  <si>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</si>
  <si>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</si>
  <si>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</si>
  <si>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</si>
  <si>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</si>
  <si>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</si>
  <si>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</si>
  <si>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</si>
  <si>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</si>
  <si>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</si>
  <si>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</si>
  <si>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</si>
  <si>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</si>
  <si>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</si>
  <si>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</si>
  <si>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</si>
  <si>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</si>
  <si>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</si>
  <si>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</si>
  <si>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</si>
  <si>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</si>
  <si>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</si>
  <si>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</si>
  <si>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</si>
  <si>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Visalia Senior Housing </t>
  </si>
  <si>
    <t>Signatory of Seller:</t>
  </si>
  <si>
    <t>Seller Principal:</t>
  </si>
  <si>
    <t>President</t>
  </si>
  <si>
    <t>Seller Address:</t>
  </si>
  <si>
    <t>3900 W. Tulare Ave., Visalia, CA 93277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</si>
  <si>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</si>
  <si>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</si>
  <si>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</si>
  <si>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</si>
  <si>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</si>
  <si>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</si>
  <si>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</si>
  <si>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</si>
  <si>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</si>
  <si>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</si>
  <si>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</si>
  <si>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</si>
  <si>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</si>
  <si>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</si>
  <si>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</si>
  <si>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</si>
  <si>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</si>
  <si>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</si>
  <si>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</si>
  <si>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</si>
  <si>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</si>
  <si>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</si>
  <si>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</si>
  <si>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</si>
  <si>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</si>
  <si>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</si>
  <si>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</si>
  <si>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</si>
  <si>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</si>
  <si>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</si>
  <si>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Three Story Garden Apartments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</si>
  <si>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</si>
  <si>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</si>
  <si>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</si>
  <si>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</si>
  <si>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</si>
  <si>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</si>
  <si>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</si>
  <si>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</si>
  <si>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</si>
  <si>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</si>
  <si>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</si>
  <si>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</si>
  <si>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</si>
  <si>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</si>
  <si>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</si>
  <si>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</si>
  <si>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</si>
  <si>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</si>
  <si>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</si>
  <si>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</si>
  <si>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</si>
  <si>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</si>
  <si>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</si>
  <si>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</si>
  <si>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</si>
  <si>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</si>
  <si>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</si>
  <si>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</si>
  <si>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</si>
  <si>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</si>
  <si>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</si>
  <si>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</si>
  <si>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</si>
  <si>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</si>
  <si>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</si>
  <si>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</si>
  <si>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</si>
  <si>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</si>
  <si>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</si>
  <si>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</si>
  <si>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</si>
  <si>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</si>
  <si>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</si>
  <si>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</si>
  <si>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</si>
  <si>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</si>
  <si>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</si>
  <si>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</si>
  <si>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</si>
  <si>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</si>
  <si>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</si>
  <si>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</si>
  <si>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</si>
  <si>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</si>
  <si>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Vacant </t>
  </si>
  <si>
    <t>Current Zoning and Maximum Density</t>
  </si>
  <si>
    <t>R-M-2</t>
  </si>
  <si>
    <t>Proposed Zoning and Maximum Density</t>
  </si>
  <si>
    <t>By Right Multifamily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</si>
  <si>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</si>
  <si>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</si>
  <si>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</si>
  <si>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</si>
  <si>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</si>
  <si>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</si>
  <si>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</si>
  <si>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</si>
  <si>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</si>
  <si>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</si>
  <si>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</si>
  <si>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</si>
  <si>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</si>
  <si>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</si>
  <si>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</si>
  <si>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</si>
  <si>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</si>
  <si>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</si>
  <si>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</si>
  <si>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</si>
  <si>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</si>
  <si>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Ministerial Approval</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</si>
  <si>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</si>
  <si>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</si>
  <si>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</si>
  <si>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</si>
  <si>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</si>
  <si>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</si>
  <si>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</si>
  <si>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</si>
  <si>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</si>
  <si>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</si>
  <si>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</si>
  <si>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</si>
  <si>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</si>
  <si>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</si>
  <si>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</si>
  <si>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</si>
  <si>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</si>
  <si>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</si>
  <si>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 NHTF</t>
  </si>
  <si>
    <t>Equity, Other Investor</t>
  </si>
  <si>
    <t>Grant</t>
  </si>
  <si>
    <t>Closing or Award</t>
  </si>
  <si>
    <t>Loan, Conventional</t>
  </si>
  <si>
    <t xml:space="preserve">Type and Source: </t>
  </si>
  <si>
    <t>County of Tulare - REAP</t>
  </si>
  <si>
    <t>Loan, Equity Bridge</t>
  </si>
  <si>
    <t>Loan, Residual Receipts</t>
  </si>
  <si>
    <t>Loan, Seller Note</t>
  </si>
  <si>
    <t>Homekey+</t>
  </si>
  <si>
    <t>Loan, General Partner</t>
  </si>
  <si>
    <t>Loan, Taxable</t>
  </si>
  <si>
    <t>Loan, Tax-Exempt</t>
  </si>
  <si>
    <t>AHP</t>
  </si>
  <si>
    <t>Loan, Tax-Exempt, Recycled</t>
  </si>
  <si>
    <t>Net Operating Income</t>
  </si>
  <si>
    <t>Other Source</t>
  </si>
  <si>
    <t>(specify here)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</si>
  <si>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</si>
  <si>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</si>
  <si>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</si>
  <si>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</si>
  <si>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</si>
  <si>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</si>
  <si>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</si>
  <si>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</si>
  <si>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</si>
  <si>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</si>
  <si>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</si>
  <si>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</si>
  <si>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</si>
  <si>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</si>
  <si>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</si>
  <si>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</si>
  <si>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</si>
  <si>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</si>
  <si>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</si>
  <si>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</si>
  <si>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</si>
  <si>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</si>
  <si>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 Construction Loan</t>
  </si>
  <si>
    <t>Variable</t>
  </si>
  <si>
    <t>US Bank Taxable Construction Loan</t>
  </si>
  <si>
    <t>Sponsor Loan - Tulare County REAP</t>
  </si>
  <si>
    <t>Fixed</t>
  </si>
  <si>
    <t>Accrued Interest - Sponsor Loan - Tulare County REAP</t>
  </si>
  <si>
    <t>6)</t>
  </si>
  <si>
    <t>Costs Deferred Until Conversion</t>
  </si>
  <si>
    <t>7)</t>
  </si>
  <si>
    <t>Deferred Developer Fee</t>
  </si>
  <si>
    <t>8)</t>
  </si>
  <si>
    <t>LP Equity</t>
  </si>
  <si>
    <t>9)</t>
  </si>
  <si>
    <t>Donated Land</t>
  </si>
  <si>
    <t>10)</t>
  </si>
  <si>
    <t>11)</t>
  </si>
  <si>
    <t>12)</t>
  </si>
  <si>
    <t>Total Funds For Construction:</t>
  </si>
  <si>
    <t>Lender/Source:</t>
  </si>
  <si>
    <t>1307 Washington Ave., Suite 300</t>
  </si>
  <si>
    <t>St. Louis, MO 63103</t>
  </si>
  <si>
    <t>Contact Name:</t>
  </si>
  <si>
    <t>Joshua Evju</t>
  </si>
  <si>
    <t>314-662-7533</t>
  </si>
  <si>
    <t>Type of Financing:</t>
  </si>
  <si>
    <t>Construction Loan</t>
  </si>
  <si>
    <t>Variable Rate Index (if applicable):</t>
  </si>
  <si>
    <t>1 month Term SOFR</t>
  </si>
  <si>
    <t>Is the Lender/Source Committed?</t>
  </si>
  <si>
    <t>210 N. Church St., Suite B</t>
  </si>
  <si>
    <t>Visalia CA, 93291</t>
  </si>
  <si>
    <t>Benjamin Kimball</t>
  </si>
  <si>
    <t>559-623-0450</t>
  </si>
  <si>
    <t>Deferred Loan</t>
  </si>
  <si>
    <t>651 Bannon St., Suite 400</t>
  </si>
  <si>
    <t>Heather Randrup</t>
  </si>
  <si>
    <t>916-412-4886</t>
  </si>
  <si>
    <t>Residual Receipts</t>
  </si>
  <si>
    <t>LIHTC Equity</t>
  </si>
  <si>
    <t>3900 W Tulare Ave</t>
  </si>
  <si>
    <t>Visalia, CA 93277</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</si>
  <si>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</si>
  <si>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</si>
  <si>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</si>
  <si>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</si>
  <si>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</si>
  <si>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</si>
  <si>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Perm Loan</t>
  </si>
  <si>
    <t>Required</t>
  </si>
  <si>
    <t>Deferred</t>
  </si>
  <si>
    <t>Residual</t>
  </si>
  <si>
    <t>Sponsor Loan - Homekey+</t>
  </si>
  <si>
    <t>Sponsor Loan - AHP</t>
  </si>
  <si>
    <t>Solar PV Equity</t>
  </si>
  <si>
    <t>Total Permanent Financing:</t>
  </si>
  <si>
    <t>Total Tax Credit Equity:</t>
  </si>
  <si>
    <t>Total Sources of Project Funds:</t>
  </si>
  <si>
    <t>Permanent Conventional Loan</t>
  </si>
  <si>
    <t xml:space="preserve"> 651 Bannon St</t>
  </si>
  <si>
    <t>126 West Center Avenue</t>
  </si>
  <si>
    <t xml:space="preserve"> Carolyn Pivirotto</t>
  </si>
  <si>
    <t>Stefani D. Woods</t>
  </si>
  <si>
    <t>(916) 263-6928</t>
  </si>
  <si>
    <t>559-268-6872</t>
  </si>
  <si>
    <t xml:space="preserve">Residual Receipts										</t>
  </si>
  <si>
    <t>3900 W Tulare , Ave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</si>
  <si>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</si>
  <si>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</si>
  <si>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</si>
  <si>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</si>
  <si>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</si>
  <si>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</si>
  <si>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</si>
  <si>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</si>
  <si>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</si>
  <si>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</si>
  <si>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</si>
  <si>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</si>
  <si>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</si>
  <si>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</si>
  <si>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</si>
  <si>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</si>
  <si>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</si>
  <si>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</si>
  <si>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</si>
  <si>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</si>
  <si>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</si>
  <si>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</si>
  <si>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</si>
  <si>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</si>
  <si>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</si>
  <si>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</si>
  <si>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</si>
  <si>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</si>
  <si>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</si>
  <si>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</si>
  <si>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</si>
  <si>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</si>
  <si>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</si>
  <si>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</si>
  <si>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</si>
  <si>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</si>
  <si>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</si>
  <si>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</si>
  <si>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</si>
  <si>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</si>
  <si>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</si>
  <si>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</si>
  <si>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</si>
  <si>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</si>
  <si>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</si>
  <si>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</si>
  <si>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</si>
  <si>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</si>
  <si>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</si>
  <si>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</si>
  <si>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</si>
  <si>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</si>
  <si>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</si>
  <si>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</si>
  <si>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</si>
  <si>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</si>
  <si>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</si>
  <si>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</si>
  <si>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</si>
  <si>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</si>
  <si>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</si>
  <si>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</si>
  <si>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</si>
  <si>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</si>
  <si>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</si>
  <si>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</si>
  <si>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</si>
  <si>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</si>
  <si>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</si>
  <si>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</si>
  <si>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</si>
  <si>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</si>
  <si>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</si>
  <si>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</si>
  <si>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</si>
  <si>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</si>
  <si>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</si>
  <si>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</si>
  <si>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</si>
  <si>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</si>
  <si>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</si>
  <si>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</si>
  <si>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</si>
  <si>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</si>
  <si>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</si>
  <si>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</si>
  <si>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</si>
  <si>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</si>
  <si>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</si>
  <si>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</si>
  <si>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</si>
  <si>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</si>
  <si>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County of Tulare - 2025</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</si>
  <si>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</si>
  <si>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</si>
  <si>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</si>
  <si>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</si>
  <si>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</si>
  <si>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</si>
  <si>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</si>
  <si>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</si>
  <si>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</si>
  <si>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</si>
  <si>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</si>
  <si>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</si>
  <si>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</si>
  <si>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</si>
  <si>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</si>
  <si>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</si>
  <si>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</si>
  <si>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</si>
  <si>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</si>
  <si>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</si>
  <si>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</si>
  <si>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</si>
  <si>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</si>
  <si>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</si>
  <si>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</si>
  <si>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</si>
  <si>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</si>
  <si>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</si>
  <si>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</si>
  <si>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</si>
  <si>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</si>
  <si>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</si>
  <si>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</si>
  <si>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</si>
  <si>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</si>
  <si>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</si>
  <si>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</si>
  <si>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</si>
  <si>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</si>
  <si>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</si>
  <si>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</si>
  <si>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</si>
  <si>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</si>
  <si>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</si>
  <si>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</si>
  <si>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</si>
  <si>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Bond Issuer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</si>
  <si>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</si>
  <si>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</si>
  <si>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</si>
  <si>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</si>
  <si>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</si>
  <si>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</si>
  <si>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</si>
  <si>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</si>
  <si>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</si>
  <si>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</si>
  <si>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</si>
  <si>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</si>
  <si>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</si>
  <si>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</si>
  <si>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</si>
  <si>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</si>
  <si>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</si>
  <si>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</si>
  <si>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</si>
  <si>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</si>
  <si>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</si>
  <si>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</si>
  <si>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</si>
  <si>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</si>
  <si>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</si>
  <si>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</si>
  <si>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</si>
  <si>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</si>
  <si>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</si>
  <si>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</si>
  <si>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</si>
  <si>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</si>
  <si>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</si>
  <si>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</si>
  <si>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</si>
  <si>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</si>
  <si>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</si>
  <si>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</si>
  <si>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</si>
  <si>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</si>
  <si>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</si>
  <si>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</si>
  <si>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</si>
  <si>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</si>
  <si>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</si>
  <si>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</si>
  <si>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</si>
  <si>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</si>
  <si>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</si>
  <si>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</si>
  <si>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</si>
  <si>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</si>
  <si>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</si>
  <si>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</si>
  <si>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</si>
  <si>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</si>
  <si>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</si>
  <si>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</si>
  <si>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</si>
  <si>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</si>
  <si>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</si>
  <si>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</si>
  <si>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</si>
  <si>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</si>
  <si>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</si>
  <si>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</si>
  <si>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</si>
  <si>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</si>
  <si>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</si>
  <si>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</si>
  <si>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</si>
  <si>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</si>
  <si>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</si>
  <si>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</si>
  <si>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</si>
  <si>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</si>
  <si>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</si>
  <si>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</si>
  <si>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</si>
  <si>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</si>
  <si>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</si>
  <si>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 - NHTF, REAP, Homekey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</si>
  <si>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</si>
  <si>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</si>
  <si>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</si>
  <si>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</si>
  <si>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</si>
  <si>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</si>
  <si>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</si>
  <si>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</si>
  <si>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</si>
  <si>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</si>
  <si>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</si>
  <si>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</si>
  <si>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</si>
  <si>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</si>
  <si>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</si>
  <si>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</si>
  <si>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</si>
  <si>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</si>
  <si>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</si>
  <si>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</si>
  <si>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</si>
  <si>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</si>
  <si>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</si>
  <si>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</si>
  <si>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</si>
  <si>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</si>
  <si>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</si>
  <si>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</si>
  <si>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</si>
  <si>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</si>
  <si>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</si>
  <si>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</si>
  <si>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</si>
  <si>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</si>
  <si>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</si>
  <si>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</si>
  <si>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</si>
  <si>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</si>
  <si>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</si>
  <si>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</si>
  <si>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</si>
  <si>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</si>
  <si>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</si>
  <si>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</si>
  <si>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</si>
  <si>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</si>
  <si>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</si>
  <si>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</si>
  <si>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</si>
  <si>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</si>
  <si>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</si>
  <si>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</si>
  <si>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</si>
  <si>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</si>
  <si>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</si>
  <si>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</si>
  <si>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</si>
  <si>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</si>
  <si>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</si>
  <si>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</si>
  <si>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</si>
  <si>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</si>
  <si>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</si>
  <si>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</si>
  <si>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</si>
  <si>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</si>
  <si>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</si>
  <si>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</si>
  <si>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</si>
  <si>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</si>
  <si>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</si>
  <si>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</si>
  <si>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</si>
  <si>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</si>
  <si>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</si>
  <si>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</si>
  <si>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</si>
  <si>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</si>
  <si>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</si>
  <si>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</si>
  <si>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</si>
  <si>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</si>
  <si>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</si>
  <si>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</si>
  <si>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</si>
  <si>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</si>
  <si>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</si>
  <si>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</si>
  <si>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</si>
  <si>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</si>
  <si>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</si>
  <si>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</si>
  <si>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</si>
  <si>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</si>
  <si>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</si>
  <si>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</si>
  <si>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</si>
  <si>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</si>
  <si>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</si>
  <si>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</si>
  <si>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</si>
  <si>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</si>
  <si>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</si>
  <si>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</si>
  <si>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</si>
  <si>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</si>
  <si>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</si>
  <si>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</si>
  <si>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</si>
  <si>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</si>
  <si>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</si>
  <si>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</si>
  <si>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</si>
  <si>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</si>
  <si>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</si>
  <si>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</si>
  <si>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</si>
  <si>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</si>
  <si>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</si>
  <si>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</si>
  <si>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</si>
  <si>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</si>
  <si>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</si>
  <si>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</si>
  <si>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</si>
  <si>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</si>
  <si>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</si>
  <si>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(Accrued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</si>
  <si>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</si>
  <si>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</si>
  <si>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</si>
  <si>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</si>
  <si>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</si>
  <si>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</si>
  <si>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</si>
  <si>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</si>
  <si>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</si>
  <si>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</si>
  <si>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</si>
  <si>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</si>
  <si>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</si>
  <si>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</si>
  <si>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</si>
  <si>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</si>
  <si>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</si>
  <si>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</si>
  <si>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</si>
  <si>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</si>
  <si>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</si>
  <si>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</si>
  <si>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</si>
  <si>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</si>
  <si>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</si>
  <si>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</si>
  <si>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</si>
  <si>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</si>
  <si>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</si>
  <si>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</si>
  <si>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</si>
  <si>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</si>
  <si>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(Prevailing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</si>
  <si>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</si>
  <si>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</si>
  <si>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</si>
  <si>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</si>
  <si>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</si>
  <si>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</si>
  <si>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</si>
  <si>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</si>
  <si>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</si>
  <si>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</si>
  <si>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</si>
  <si>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</si>
  <si>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</si>
  <si>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</si>
  <si>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</si>
  <si>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</si>
  <si>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</si>
  <si>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</si>
  <si>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</si>
  <si>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</si>
  <si>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</si>
  <si>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</si>
  <si>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</si>
  <si>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</si>
  <si>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</si>
  <si>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</si>
  <si>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</si>
  <si>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</si>
  <si>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</si>
  <si>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</si>
  <si>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</si>
  <si>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</si>
  <si>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</si>
  <si>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</si>
  <si>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</si>
  <si>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</si>
  <si>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</si>
  <si>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</si>
  <si>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</si>
  <si>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</si>
  <si>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</si>
  <si>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</si>
  <si>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</si>
  <si>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</si>
  <si>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</si>
  <si>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</si>
  <si>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</si>
  <si>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</si>
  <si>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</si>
  <si>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</si>
  <si>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</si>
  <si>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</si>
  <si>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</si>
  <si>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</si>
  <si>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</si>
  <si>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</si>
  <si>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</si>
  <si>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</si>
  <si>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</si>
  <si>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</si>
  <si>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</si>
  <si>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</si>
  <si>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</si>
  <si>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</si>
  <si>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</si>
  <si>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</si>
  <si>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</si>
  <si>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</si>
  <si>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</si>
  <si>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</si>
  <si>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</si>
  <si>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</si>
  <si>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</si>
  <si>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</si>
  <si>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</si>
  <si>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</si>
  <si>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</si>
  <si>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</si>
  <si>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</si>
  <si>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</si>
  <si>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</si>
  <si>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</si>
  <si>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</si>
  <si>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</si>
  <si>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</si>
  <si>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</si>
  <si>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</si>
  <si>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</si>
  <si>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</si>
  <si>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</si>
  <si>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</si>
  <si>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</si>
  <si>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</si>
  <si>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</si>
  <si>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</si>
  <si>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</si>
  <si>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</si>
  <si>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</si>
  <si>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</si>
  <si>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</si>
  <si>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</si>
  <si>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</si>
  <si>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</si>
  <si>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</si>
  <si>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</si>
  <si>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</si>
  <si>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</si>
  <si>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</si>
  <si>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</si>
  <si>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</si>
  <si>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</si>
  <si>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</si>
  <si>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</si>
  <si>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</si>
  <si>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</si>
  <si>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</si>
  <si>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</si>
  <si>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</si>
  <si>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</si>
  <si>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</si>
  <si>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</si>
  <si>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</si>
  <si>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</si>
  <si>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</si>
  <si>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</si>
  <si>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</si>
  <si>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</si>
  <si>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</si>
  <si>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</si>
  <si>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</si>
  <si>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</si>
  <si>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</si>
  <si>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</si>
  <si>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</si>
  <si>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</si>
  <si>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</si>
  <si>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</si>
  <si>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</si>
  <si>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</si>
  <si>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</si>
  <si>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</si>
  <si>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</si>
  <si>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</si>
  <si>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</si>
  <si>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</si>
  <si>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</si>
  <si>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</si>
  <si>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</si>
  <si>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</si>
  <si>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</si>
  <si>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</si>
  <si>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</si>
  <si>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</si>
  <si>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</si>
  <si>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</si>
  <si>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</si>
  <si>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</si>
  <si>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</si>
  <si>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</si>
  <si>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</si>
  <si>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</si>
  <si>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</si>
  <si>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</si>
  <si>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</si>
  <si>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</si>
  <si>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</si>
  <si>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</si>
  <si>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</si>
  <si>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</si>
  <si>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</si>
  <si>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</si>
  <si>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</si>
  <si>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</si>
  <si>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</si>
  <si>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</si>
  <si>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</si>
  <si>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</si>
  <si>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</si>
  <si>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</si>
  <si>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</si>
  <si>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</si>
  <si>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</si>
  <si>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</si>
  <si>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</si>
  <si>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</si>
  <si>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</si>
  <si>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</si>
  <si>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</si>
  <si>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</si>
  <si>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</si>
  <si>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</si>
  <si>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</si>
  <si>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</si>
  <si>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</si>
  <si>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</si>
  <si>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</si>
  <si>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</si>
  <si>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</si>
  <si>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</si>
  <si>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</si>
  <si>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</si>
  <si>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</si>
  <si>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</si>
  <si>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</si>
  <si>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</si>
  <si>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</si>
  <si>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</si>
  <si>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</si>
  <si>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</si>
  <si>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</si>
  <si>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</si>
  <si>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</si>
  <si>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</si>
  <si>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</si>
  <si>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</si>
  <si>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</si>
  <si>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</si>
  <si>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</si>
  <si>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</si>
  <si>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</si>
  <si>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</si>
  <si>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</si>
  <si>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</si>
  <si>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</si>
  <si>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</si>
  <si>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</si>
  <si>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</si>
  <si>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</si>
  <si>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</si>
  <si>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</si>
  <si>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</si>
  <si>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</si>
  <si>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</si>
  <si>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</si>
  <si>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</si>
  <si>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</si>
  <si>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</si>
  <si>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</si>
  <si>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</si>
  <si>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</si>
  <si>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</si>
  <si>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</si>
  <si>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</si>
  <si>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</si>
  <si>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</si>
  <si>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</si>
  <si>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</si>
  <si>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</si>
  <si>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</si>
  <si>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</si>
  <si>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</si>
  <si>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</si>
  <si>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</si>
  <si>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</si>
  <si>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</si>
  <si>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</si>
  <si>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</si>
  <si>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</si>
  <si>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</si>
  <si>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</si>
  <si>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</si>
  <si>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</si>
  <si>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</si>
  <si>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</si>
  <si>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</si>
  <si>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</si>
  <si>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</si>
  <si>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</si>
  <si>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</si>
  <si>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</si>
  <si>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</si>
  <si>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</si>
  <si>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</si>
  <si>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</si>
  <si>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</si>
  <si>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</si>
  <si>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</si>
  <si>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</si>
  <si>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</si>
  <si>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</si>
  <si>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</si>
  <si>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</si>
  <si>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</si>
  <si>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</si>
  <si>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</si>
  <si>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</si>
  <si>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</si>
  <si>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</si>
  <si>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</si>
  <si>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</si>
  <si>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</si>
  <si>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</si>
  <si>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</si>
  <si>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</si>
  <si>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</si>
  <si>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</si>
  <si>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</si>
  <si>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</si>
  <si>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</si>
  <si>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</si>
  <si>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</si>
  <si>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</si>
  <si>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</si>
  <si>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</si>
  <si>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</si>
  <si>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</si>
  <si>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</si>
  <si>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</si>
  <si>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</si>
  <si>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</si>
  <si>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</si>
  <si>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</si>
  <si>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</si>
  <si>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</si>
  <si>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</si>
  <si>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</si>
  <si>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</si>
  <si>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</si>
  <si>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</si>
  <si>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</si>
  <si>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</si>
  <si>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</si>
  <si>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</si>
  <si>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</si>
  <si>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</si>
  <si>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</si>
  <si>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</si>
  <si>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</si>
  <si>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</si>
  <si>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</si>
  <si>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</si>
  <si>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</si>
  <si>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</si>
  <si>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</si>
  <si>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</si>
  <si>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</si>
  <si>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</si>
  <si>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</si>
  <si>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</si>
  <si>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</si>
  <si>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</si>
  <si>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</si>
  <si>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</si>
  <si>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</si>
  <si>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</si>
  <si>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</si>
  <si>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</si>
  <si>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</si>
  <si>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</si>
  <si>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</si>
  <si>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</si>
  <si>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</si>
  <si>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</si>
  <si>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</si>
  <si>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</si>
  <si>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</si>
  <si>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</si>
  <si>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</si>
  <si>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</si>
  <si>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</si>
  <si>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</si>
  <si>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</si>
  <si>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</si>
  <si>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</si>
  <si>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</si>
  <si>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</si>
  <si>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</si>
  <si>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</si>
  <si>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</si>
  <si>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</si>
  <si>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</si>
  <si>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</si>
  <si>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</si>
  <si>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</si>
  <si>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</si>
  <si>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</si>
  <si>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</si>
  <si>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</si>
  <si>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</si>
  <si>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</si>
  <si>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</si>
  <si>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</si>
  <si>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</si>
  <si>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</si>
  <si>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</si>
  <si>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</si>
  <si>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</si>
  <si>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</si>
  <si>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</si>
  <si>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</si>
  <si>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</si>
  <si>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</si>
  <si>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</si>
  <si>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</si>
  <si>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</si>
  <si>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</si>
  <si>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</si>
  <si>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</si>
  <si>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</si>
  <si>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</si>
  <si>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</si>
  <si>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</si>
  <si>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</si>
  <si>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</si>
  <si>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</si>
  <si>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</si>
  <si>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</si>
  <si>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</si>
  <si>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</si>
  <si>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</si>
  <si>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</si>
  <si>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</si>
  <si>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</si>
  <si>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</si>
  <si>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</si>
  <si>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</si>
  <si>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</si>
  <si>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</si>
  <si>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</si>
  <si>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</si>
  <si>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</si>
  <si>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</si>
  <si>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</si>
  <si>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</si>
  <si>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</si>
  <si>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</si>
  <si>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</si>
  <si>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</si>
  <si>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</si>
  <si>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</si>
  <si>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</si>
  <si>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</si>
  <si>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</si>
  <si>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</si>
  <si>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</si>
  <si>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</si>
  <si>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</si>
  <si>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</si>
  <si>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</si>
  <si>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</si>
  <si>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</si>
  <si>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</si>
  <si>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</si>
  <si>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</si>
  <si>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</si>
  <si>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</si>
  <si>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</si>
  <si>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</si>
  <si>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</si>
  <si>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</si>
  <si>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</si>
  <si>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</si>
  <si>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</si>
  <si>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</si>
  <si>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</si>
  <si>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</si>
  <si>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</si>
  <si>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</si>
  <si>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</si>
  <si>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</si>
  <si>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</si>
  <si>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</si>
  <si>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</si>
  <si>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</si>
  <si>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</si>
  <si>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</si>
  <si>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</si>
  <si>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</si>
  <si>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</si>
  <si>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</si>
  <si>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</si>
  <si>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</si>
  <si>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</si>
  <si>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</si>
  <si>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</si>
  <si>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</si>
  <si>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</si>
  <si>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</si>
  <si>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</si>
  <si>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</si>
  <si>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</si>
  <si>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</si>
  <si>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</si>
  <si>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</si>
  <si>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</si>
  <si>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</si>
  <si>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</si>
  <si>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</si>
  <si>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</si>
  <si>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</si>
  <si>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</si>
  <si>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</si>
  <si>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</si>
  <si>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</si>
  <si>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</si>
  <si>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</si>
  <si>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</si>
  <si>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</si>
  <si>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</si>
  <si>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</si>
  <si>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</si>
  <si>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</si>
  <si>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</si>
  <si>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</si>
  <si>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</si>
  <si>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</si>
  <si>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</si>
  <si>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</si>
  <si>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</si>
  <si>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</si>
  <si>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</si>
  <si>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</si>
  <si>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</si>
  <si>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</si>
  <si>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</si>
  <si>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</si>
  <si>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</si>
  <si>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</si>
  <si>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</si>
  <si>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</si>
  <si>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</si>
  <si>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</si>
  <si>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</si>
  <si>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</si>
  <si>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</si>
  <si>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</si>
  <si>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</si>
  <si>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</si>
  <si>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</si>
  <si>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</si>
  <si>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</si>
  <si>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</si>
  <si>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</si>
  <si>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</si>
  <si>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</si>
  <si>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</si>
  <si>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</si>
  <si>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</si>
  <si>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</si>
  <si>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</si>
  <si>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</si>
  <si>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</si>
  <si>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</si>
  <si>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</si>
  <si>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</si>
  <si>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</si>
  <si>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</si>
  <si>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</si>
  <si>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</si>
  <si>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</si>
  <si>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</si>
  <si>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</si>
  <si>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</si>
  <si>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</si>
  <si>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</si>
  <si>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</si>
  <si>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</si>
  <si>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</si>
  <si>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</si>
  <si>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</si>
  <si>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</si>
  <si>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</si>
  <si>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</si>
  <si>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</si>
  <si>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</si>
  <si>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</si>
  <si>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</si>
  <si>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</si>
  <si>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</si>
  <si>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</si>
  <si>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</si>
  <si>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</si>
  <si>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</si>
  <si>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</si>
  <si>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</si>
  <si>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</si>
  <si>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</si>
  <si>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</si>
  <si>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</si>
  <si>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</si>
  <si>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</si>
  <si>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</si>
  <si>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</si>
  <si>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</si>
  <si>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</si>
  <si>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</si>
  <si>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</si>
  <si>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</si>
  <si>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</si>
  <si>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</si>
  <si>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</si>
  <si>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</si>
  <si>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</si>
  <si>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</si>
  <si>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</si>
  <si>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</si>
  <si>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</si>
  <si>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</si>
  <si>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</si>
  <si>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</si>
  <si>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</si>
  <si>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</si>
  <si>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</si>
  <si>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</si>
  <si>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</si>
  <si>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</si>
  <si>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</si>
  <si>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</si>
  <si>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</si>
  <si>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</si>
  <si>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</si>
  <si>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</si>
  <si>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</si>
  <si>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</si>
  <si>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</si>
  <si>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</si>
  <si>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</si>
  <si>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</si>
  <si>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</si>
  <si>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</si>
  <si>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</si>
  <si>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</si>
  <si>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</si>
  <si>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</si>
  <si>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</si>
  <si>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</si>
  <si>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</si>
  <si>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</si>
  <si>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</si>
  <si>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</si>
  <si>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</si>
  <si>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</si>
  <si>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</si>
  <si>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</si>
  <si>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</si>
  <si>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</si>
  <si>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</si>
  <si>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</si>
  <si>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</si>
  <si>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</si>
  <si>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</si>
  <si>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</si>
  <si>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</si>
  <si>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</si>
  <si>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</si>
  <si>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</si>
  <si>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</si>
  <si>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</si>
  <si>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</si>
  <si>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</si>
  <si>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</si>
  <si>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</si>
  <si>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</si>
  <si>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</si>
  <si>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</si>
  <si>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</si>
  <si>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</si>
  <si>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</si>
  <si>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</si>
  <si>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</si>
  <si>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</si>
  <si>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</si>
  <si>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</si>
  <si>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</si>
  <si>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</si>
  <si>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</si>
  <si>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</si>
  <si>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</si>
  <si>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</si>
  <si>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</si>
  <si>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</si>
  <si>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</si>
  <si>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</si>
  <si>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</si>
  <si>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</si>
  <si>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</si>
  <si>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</si>
  <si>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</si>
  <si>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</si>
  <si>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</si>
  <si>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</si>
  <si>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</si>
  <si>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</si>
  <si>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</si>
  <si>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</si>
  <si>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</si>
  <si>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</si>
  <si>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</si>
  <si>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</si>
  <si>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</si>
  <si>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</si>
  <si>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</si>
  <si>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</si>
  <si>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</si>
  <si>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</si>
  <si>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</si>
  <si>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</si>
  <si>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</si>
  <si>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</si>
  <si>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</si>
  <si>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</si>
  <si>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</si>
  <si>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</si>
  <si>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</si>
  <si>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</si>
  <si>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</si>
  <si>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</si>
  <si>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</si>
  <si>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</si>
  <si>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</si>
  <si>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</si>
  <si>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</si>
  <si>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</si>
  <si>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</si>
  <si>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</si>
  <si>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</si>
  <si>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</si>
  <si>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</si>
  <si>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</si>
  <si>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</si>
  <si>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</si>
  <si>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</si>
  <si>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</si>
  <si>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</si>
  <si>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</si>
  <si>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</si>
  <si>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</si>
  <si>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</si>
  <si>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</si>
  <si>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</si>
  <si>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</si>
  <si>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</si>
  <si>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</si>
  <si>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</si>
  <si>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</si>
  <si>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</si>
  <si>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</si>
  <si>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</si>
  <si>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</si>
  <si>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</si>
  <si>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</si>
  <si>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</si>
  <si>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</si>
  <si>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</si>
  <si>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</si>
  <si>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</si>
  <si>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</si>
  <si>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</si>
  <si>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</si>
  <si>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</si>
  <si>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</si>
  <si>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</si>
  <si>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</si>
  <si>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</si>
  <si>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</si>
  <si>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</si>
  <si>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</si>
  <si>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</si>
  <si>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</si>
  <si>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</si>
  <si>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</si>
  <si>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</si>
  <si>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</si>
  <si>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</si>
  <si>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</si>
  <si>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</si>
  <si>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</si>
  <si>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</si>
  <si>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</si>
  <si>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</si>
  <si>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</si>
  <si>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</si>
  <si>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</si>
  <si>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</si>
  <si>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</si>
  <si>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</si>
  <si>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</si>
  <si>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</si>
  <si>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</si>
  <si>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</si>
  <si>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</si>
  <si>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</si>
  <si>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</si>
  <si>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</si>
  <si>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</si>
  <si>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</si>
  <si>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</si>
  <si>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</si>
  <si>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</si>
  <si>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</si>
  <si>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</si>
  <si>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</si>
  <si>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</si>
  <si>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</si>
  <si>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</si>
  <si>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</si>
  <si>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</si>
  <si>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</si>
  <si>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</si>
  <si>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</si>
  <si>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</si>
  <si>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</si>
  <si>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</si>
  <si>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</si>
  <si>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</si>
  <si>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</si>
  <si>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</si>
  <si>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</si>
  <si>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</si>
  <si>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</si>
  <si>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</si>
  <si>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</si>
  <si>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</si>
  <si>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</si>
  <si>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</si>
  <si>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</si>
  <si>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</si>
  <si>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</si>
  <si>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</si>
  <si>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</si>
  <si>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</si>
  <si>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</si>
  <si>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</si>
  <si>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</si>
  <si>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</si>
  <si>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</si>
  <si>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 xml:space="preserve">NHTF, REAP, Homekey </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</si>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</sst>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68" fontId="16" fillId="5" borderId="0" xfId="0" applyNumberFormat="1" applyFont="1" applyFill="1"/>
    <xf numFmtId="3" fontId="16" fillId="5" borderId="0" xfId="0" applyNumberFormat="1" applyFont="1" applyFill="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6"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6" fillId="0" borderId="0" xfId="0" applyFont="1" applyAlignment="1">
      <alignment horizontal="left" wrapText="1"/>
    </xf>
    <xf numFmtId="0" fontId="16" fillId="0" borderId="0" xfId="1192" applyAlignment="1">
      <alignment horizontal="left" vertical="top" wrapText="1"/>
    </xf>
    <xf numFmtId="0" fontId="23" fillId="0" borderId="0" xfId="0" applyFont="1" applyAlignment="1">
      <alignment horizontal="left" vertical="top" wrapText="1"/>
    </xf>
    <xf numFmtId="0" fontId="16" fillId="0" borderId="0" xfId="569" applyAlignment="1">
      <alignment wrapText="1"/>
    </xf>
    <xf numFmtId="0" fontId="16" fillId="0" borderId="0" xfId="1192" applyAlignment="1">
      <alignment vertical="top" wrapText="1"/>
    </xf>
    <xf numFmtId="4" fontId="16" fillId="0" borderId="0" xfId="569" applyNumberFormat="1" applyAlignment="1">
      <alignment horizontal="left"/>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16" fillId="0" borderId="0" xfId="0" applyFont="1" applyAlignment="1">
      <alignment horizontal="left" vertical="top"/>
    </xf>
    <xf numFmtId="0" fontId="16" fillId="0" borderId="0" xfId="0" applyFont="1" applyAlignment="1">
      <alignmen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0" fontId="16" fillId="0" borderId="0" xfId="569" applyAlignment="1">
      <alignment horizontal="left"/>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569" applyFont="1" applyAlignment="1">
      <alignment horizontal="left"/>
    </xf>
    <xf numFmtId="4" fontId="16" fillId="0" borderId="0" xfId="1192" applyNumberFormat="1" applyAlignment="1">
      <alignment horizontal="left" vertical="top" wrapText="1"/>
    </xf>
    <xf numFmtId="0" fontId="16" fillId="0" borderId="0" xfId="569" applyAlignment="1">
      <alignment vertical="top" wrapText="1"/>
    </xf>
    <xf numFmtId="0" fontId="16" fillId="0" borderId="0" xfId="1192" applyAlignment="1">
      <alignment horizontal="left"/>
    </xf>
    <xf numFmtId="0" fontId="23" fillId="0" borderId="0" xfId="569" applyFont="1" applyAlignment="1">
      <alignment horizontal="center"/>
    </xf>
    <xf numFmtId="0" fontId="23" fillId="0" borderId="0" xfId="0" applyFont="1" applyAlignment="1">
      <alignment horizontal="left" vertical="top"/>
    </xf>
    <xf numFmtId="0" fontId="23" fillId="0" borderId="0" xfId="569" applyFont="1" applyAlignment="1">
      <alignment horizontal="left"/>
    </xf>
    <xf numFmtId="0" fontId="34" fillId="0" borderId="0" xfId="569" applyFont="1" applyAlignment="1">
      <alignment horizontal="center"/>
    </xf>
    <xf numFmtId="0" fontId="16"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3" fillId="0" borderId="0" xfId="0" applyFont="1" applyAlignment="1">
      <alignment horizontal="center"/>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24" fillId="0" borderId="0" xfId="0" applyFont="1" applyAlignment="1">
      <alignment horizontal="center"/>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4" xfId="0" applyFont="1" applyBorder="1" applyAlignment="1">
      <alignment horizontal="right"/>
    </xf>
    <xf numFmtId="0" fontId="23" fillId="0" borderId="5" xfId="0" applyFont="1" applyBorder="1" applyAlignment="1">
      <alignment horizontal="right"/>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23" fillId="0" borderId="6" xfId="0" applyFont="1" applyBorder="1" applyAlignment="1">
      <alignment horizontal="right"/>
    </xf>
    <xf numFmtId="0" fontId="0" fillId="5" borderId="3" xfId="0" applyFill="1" applyBorder="1" applyAlignment="1" applyProtection="1">
      <alignment horizontal="left"/>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23"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16" fillId="0" borderId="0" xfId="543" applyAlignment="1">
      <alignment horizontal="center"/>
    </xf>
    <xf numFmtId="0" fontId="23" fillId="0" borderId="6" xfId="0" applyFont="1" applyBorder="1" applyAlignment="1">
      <alignment horizontal="center"/>
    </xf>
    <xf numFmtId="0" fontId="16" fillId="0" borderId="3" xfId="0" applyFont="1" applyBorder="1"/>
    <xf numFmtId="0" fontId="16" fillId="0" borderId="4" xfId="0" applyFont="1" applyBorder="1"/>
    <xf numFmtId="0" fontId="16" fillId="0" borderId="5" xfId="0" applyFont="1" applyBorder="1"/>
    <xf numFmtId="0" fontId="23" fillId="0" borderId="7" xfId="0" applyFont="1" applyBorder="1" applyAlignment="1">
      <alignment horizontal="right"/>
    </xf>
    <xf numFmtId="0" fontId="23" fillId="0" borderId="2" xfId="0" applyFont="1" applyBorder="1" applyAlignment="1">
      <alignment horizontal="center"/>
    </xf>
    <xf numFmtId="0" fontId="0" fillId="0" borderId="12" xfId="0" applyBorder="1" applyAlignment="1">
      <alignment horizontal="center"/>
    </xf>
    <xf numFmtId="0" fontId="23" fillId="0" borderId="8" xfId="0" applyFont="1" applyBorder="1" applyAlignment="1">
      <alignment horizontal="center" vertical="center" wrapText="1"/>
    </xf>
    <xf numFmtId="0" fontId="16" fillId="0" borderId="4" xfId="0" applyFont="1" applyBorder="1" applyAlignment="1">
      <alignment horizontal="left"/>
    </xf>
    <xf numFmtId="168" fontId="0" fillId="0" borderId="3" xfId="0" applyNumberFormat="1" applyBorder="1"/>
    <xf numFmtId="168" fontId="0" fillId="0" borderId="4" xfId="0" applyNumberFormat="1" applyBorder="1"/>
    <xf numFmtId="168" fontId="0" fillId="0" borderId="5" xfId="0" applyNumberFormat="1" applyBorder="1"/>
    <xf numFmtId="0" fontId="0" fillId="0" borderId="6" xfId="0" applyBorder="1" applyAlignment="1">
      <alignment horizontal="left" wrapText="1"/>
    </xf>
    <xf numFmtId="0" fontId="0" fillId="0" borderId="5" xfId="0" applyBorder="1" applyAlignment="1">
      <alignment horizontal="left"/>
    </xf>
    <xf numFmtId="0" fontId="23" fillId="0" borderId="4" xfId="0" applyFont="1" applyBorder="1" applyAlignment="1">
      <alignment horizontal="center"/>
    </xf>
    <xf numFmtId="0" fontId="0" fillId="0" borderId="0" xfId="0" applyAlignment="1">
      <alignment vertical="top" wrapText="1"/>
    </xf>
    <xf numFmtId="0" fontId="45" fillId="0" borderId="0" xfId="0" applyFont="1" applyAlignment="1">
      <alignment vertical="top" wrapText="1"/>
    </xf>
    <xf numFmtId="0" fontId="16" fillId="0" borderId="0" xfId="569" applyAlignment="1">
      <alignment horizontal="right" vertical="top" wrapText="1"/>
    </xf>
    <xf numFmtId="0" fontId="91" fillId="47" borderId="4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horizontal="left" vertical="center" wrapText="1"/>
    </xf>
    <xf numFmtId="0" fontId="23" fillId="0" borderId="0" xfId="4495" applyFont="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23" fillId="0" borderId="0" xfId="4495" applyFont="1" applyAlignment="1">
      <alignment horizontal="center" vertical="top"/>
    </xf>
    <xf numFmtId="0" fontId="16" fillId="0" borderId="0" xfId="1192" applyAlignment="1">
      <alignment horizontal="right"/>
    </xf>
    <xf numFmtId="9" fontId="16" fillId="0" borderId="0" xfId="1192" quotePrefix="1" applyNumberFormat="1" applyAlignment="1">
      <alignment horizontal="center"/>
    </xf>
    <xf numFmtId="0" fontId="16" fillId="0" borderId="0" xfId="4495" applyFont="1" applyAlignment="1">
      <alignment horizontal="left"/>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16" fillId="0" borderId="51" xfId="4495" applyFont="1" applyBorder="1" applyAlignment="1">
      <alignment horizontal="left" vertical="top" wrapText="1"/>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6" fillId="0" borderId="0" xfId="4495" applyFont="1" applyAlignment="1">
      <alignment horizontal="left" vertical="center" wrapText="1" shrinkToFi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109" fillId="0" borderId="53" xfId="4495" applyBorder="1" applyAlignment="1">
      <alignment horizontal="center"/>
    </xf>
    <xf numFmtId="0" fontId="109" fillId="0" borderId="0" xfId="4495" applyAlignment="1">
      <alignment horizontal="center"/>
    </xf>
    <xf numFmtId="168" fontId="87" fillId="0" borderId="11" xfId="4499" applyNumberFormat="1" applyFont="1" applyFill="1" applyBorder="1" applyAlignment="1" applyProtection="1">
      <alignment horizontal="left" vertical="center" indent="1"/>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43" fontId="16" fillId="0" borderId="0" xfId="698" applyFont="1" applyAlignment="1">
      <alignment horizontal="center"/>
    </xf>
    <xf numFmtId="168" fontId="16" fillId="5" borderId="6" xfId="0" applyNumberFormat="1" applyFont="1" applyFill="1" applyBorder="1"/>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5" borderId="6" xfId="0" applyFill="1" applyBorder="1" applyAlignment="1" applyProtection="1">
      <alignment horizont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6" fillId="5" borderId="11" xfId="0" applyFont="1" applyFill="1" applyBorder="1" applyAlignment="1" applyProtection="1">
      <alignment vertical="center" wrapText="1"/>
      <protection locked="0"/>
    </xf>
    <xf numFmtId="0" fontId="0" fillId="5" borderId="6" xfId="0"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horizontal="left" wrapText="1"/>
      <protection locked="0"/>
    </xf>
    <xf numFmtId="172" fontId="23"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0" fontId="16"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16" fillId="5" borderId="6" xfId="0" applyFont="1" applyFill="1" applyBorder="1" applyAlignment="1" applyProtection="1">
      <alignment horizontal="left" wrapText="1"/>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16" fillId="0" borderId="4" xfId="0" applyFont="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4" fontId="16" fillId="5" borderId="4" xfId="0" applyNumberFormat="1" applyFont="1" applyFill="1" applyBorder="1" applyAlignment="1" applyProtection="1">
      <alignment horizontal="right"/>
      <protection locked="0"/>
    </xf>
    <xf numFmtId="3" fontId="16" fillId="0" borderId="11" xfId="0" applyNumberFormat="1" applyFon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2" fontId="0" fillId="0" borderId="6" xfId="0" applyNumberFormat="1"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6" fillId="0" borderId="11" xfId="0" applyFont="1" applyBorder="1" applyAlignment="1">
      <alignment horizontal="center" vertical="top"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2" fontId="16" fillId="0" borderId="0" xfId="543" applyNumberFormat="1" applyAlignment="1">
      <alignment horizontal="center"/>
    </xf>
    <xf numFmtId="0" fontId="16" fillId="0" borderId="0" xfId="543" applyAlignment="1">
      <alignment horizontal="center"/>
    </xf>
    <xf numFmtId="171" fontId="16" fillId="0" borderId="0" xfId="543" applyNumberFormat="1" applyAlignment="1">
      <alignment horizontal="center"/>
    </xf>
    <xf numFmtId="171" fontId="16" fillId="0" borderId="0" xfId="543" applyNumberFormat="1" applyAlignment="1">
      <alignment horizontal="right"/>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0" fillId="0" borderId="11" xfId="0" applyNumberFormat="1" applyBorder="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6" fillId="0" borderId="3" xfId="0" applyFont="1" applyBorder="1"/>
    <xf numFmtId="0" fontId="16" fillId="0" borderId="4" xfId="0" applyFont="1" applyBorder="1"/>
    <xf numFmtId="0" fontId="16"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6" fillId="5" borderId="5" xfId="0" applyFont="1" applyFill="1" applyBorder="1" applyAlignment="1" applyProtection="1">
      <alignment horizontal="left"/>
      <protection locked="0"/>
    </xf>
    <xf numFmtId="0" fontId="23" fillId="0" borderId="6"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3" fillId="0" borderId="11" xfId="0" applyFont="1" applyBorder="1" applyAlignment="1">
      <alignment horizontal="center" vertic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43" borderId="4" xfId="0" applyFont="1" applyFill="1" applyBorder="1" applyAlignment="1" applyProtection="1">
      <alignment horizontal="center"/>
      <protection locked="0"/>
    </xf>
    <xf numFmtId="0" fontId="23" fillId="0" borderId="10" xfId="0" applyFont="1" applyBorder="1" applyAlignment="1">
      <alignment horizontal="center"/>
    </xf>
    <xf numFmtId="0" fontId="23" fillId="0" borderId="9" xfId="0" applyFont="1" applyBorder="1" applyAlignment="1">
      <alignment horizontal="center"/>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9" fontId="16" fillId="5" borderId="3" xfId="0" applyNumberFormat="1" applyFont="1" applyFill="1" applyBorder="1" applyAlignment="1" applyProtection="1">
      <alignment horizontal="righ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27" t="s">
        <v>0</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row>
    <row r="2" spans="1:38" ht="13"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38" ht="13" thickTop="1"/>
    <row r="4" spans="1:38" s="4" customFormat="1" ht="13">
      <c r="B4" s="9" t="s">
        <v>1</v>
      </c>
      <c r="C4" s="9" t="s">
        <v>2</v>
      </c>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13"/>
      <c r="B7" s="113"/>
      <c r="C7" s="11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044"/>
    </row>
    <row r="8" spans="1:38" ht="13">
      <c r="A8" s="113"/>
      <c r="B8" s="113"/>
      <c r="C8" s="11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044"/>
    </row>
    <row r="9" spans="1:38" ht="13">
      <c r="A9" s="113"/>
      <c r="B9" s="113"/>
      <c r="C9" s="11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044"/>
    </row>
    <row r="10" spans="1:38" ht="13">
      <c r="A10" s="113"/>
      <c r="B10" s="113"/>
      <c r="C10" s="11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4"/>
      <c r="AL10" s="1044"/>
    </row>
    <row r="11" spans="1:38" ht="13" customHeight="1">
      <c r="A11" s="113"/>
      <c r="B11" s="113"/>
      <c r="C11" s="11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044"/>
    </row>
    <row r="12" spans="1:38" ht="13">
      <c r="A12" s="113"/>
      <c r="B12" s="113"/>
      <c r="C12" s="11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044"/>
    </row>
    <row r="13" spans="1:38" ht="13">
      <c r="A13" s="113"/>
      <c r="B13" s="113"/>
      <c r="C13" s="11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044"/>
    </row>
    <row r="14" spans="1:38" ht="13">
      <c r="A14" s="113"/>
      <c r="B14" s="113"/>
      <c r="C14" s="114"/>
      <c r="D14" s="1031"/>
      <c r="E14" s="1031"/>
      <c r="F14" s="1031"/>
      <c r="G14" s="1031"/>
      <c r="H14" s="1031"/>
      <c r="I14" s="1031"/>
      <c r="J14" s="1031"/>
      <c r="K14" s="1031"/>
      <c r="L14" s="1031"/>
      <c r="M14" s="1031"/>
      <c r="N14" s="1031"/>
      <c r="O14" s="1031"/>
      <c r="P14" s="1031"/>
      <c r="Q14" s="1031"/>
      <c r="R14" s="1031"/>
      <c r="S14" s="1031"/>
      <c r="T14" s="1031"/>
      <c r="U14" s="1031"/>
      <c r="V14" s="1031"/>
      <c r="W14" s="1031"/>
      <c r="X14" s="1031"/>
      <c r="Y14" s="1031"/>
      <c r="Z14" s="1031"/>
      <c r="AA14" s="1031"/>
      <c r="AB14" s="1031"/>
      <c r="AC14" s="1031"/>
      <c r="AD14" s="1031"/>
      <c r="AE14" s="1031"/>
      <c r="AF14" s="1031"/>
      <c r="AG14" s="1031"/>
      <c r="AH14" s="1031"/>
      <c r="AI14" s="1031"/>
      <c r="AJ14" s="1031"/>
      <c r="AK14" s="1031"/>
      <c r="AL14" s="1044"/>
    </row>
    <row r="15" spans="1:38" ht="13.4" customHeight="1">
      <c r="A15" s="113"/>
      <c r="B15" s="113"/>
      <c r="C15" s="114"/>
      <c r="D15" s="1217" t="s">
        <v>7</v>
      </c>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044"/>
    </row>
    <row r="16" spans="1:38" ht="13.4" customHeight="1">
      <c r="A16" s="113"/>
      <c r="B16" s="113"/>
      <c r="C16" s="114"/>
      <c r="D16" s="1217"/>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1044"/>
    </row>
    <row r="17" spans="1:38" ht="13">
      <c r="A17" s="113"/>
      <c r="B17" s="113"/>
      <c r="C17" s="114"/>
      <c r="D17" s="1217"/>
      <c r="E17" s="1217"/>
      <c r="F17" s="1217"/>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7"/>
      <c r="AK17" s="1217"/>
      <c r="AL17" s="1044"/>
    </row>
    <row r="18" spans="1:38" ht="13">
      <c r="A18" s="113"/>
      <c r="B18" s="113"/>
      <c r="C18" s="114"/>
      <c r="D18" s="1043" t="s">
        <v>8</v>
      </c>
      <c r="E18" s="1031"/>
      <c r="G18" s="1031"/>
      <c r="H18" s="1031"/>
      <c r="I18" s="1031"/>
      <c r="J18" s="1230" t="s">
        <v>9</v>
      </c>
      <c r="K18" s="1230"/>
      <c r="L18" s="1230"/>
      <c r="M18" s="1230"/>
      <c r="N18" s="1230"/>
      <c r="O18" s="1230"/>
      <c r="P18" s="1230"/>
      <c r="Q18" s="1230"/>
      <c r="R18" s="1230"/>
      <c r="S18" s="1230"/>
      <c r="T18" s="1230"/>
      <c r="U18" s="1230"/>
      <c r="V18" s="1230"/>
      <c r="W18" s="1230"/>
      <c r="X18" s="1230"/>
      <c r="Y18" s="1230"/>
      <c r="Z18" s="1230"/>
      <c r="AA18" s="1230"/>
      <c r="AB18" s="1230"/>
      <c r="AC18" s="1230"/>
      <c r="AD18" s="1230"/>
      <c r="AE18" s="1230"/>
      <c r="AF18" s="1230"/>
      <c r="AG18" s="1230"/>
      <c r="AH18" s="1230"/>
      <c r="AI18" s="1230"/>
      <c r="AJ18" s="1230"/>
      <c r="AK18" s="1230"/>
      <c r="AL18" s="1044"/>
    </row>
    <row r="19" spans="1:38" ht="13">
      <c r="A19" s="113"/>
      <c r="B19" s="113"/>
      <c r="C19" s="114"/>
      <c r="D19" s="1031"/>
      <c r="E19" s="1031"/>
      <c r="F19" s="1032"/>
      <c r="G19" s="1031"/>
      <c r="H19" s="1031"/>
      <c r="I19" s="1031"/>
      <c r="J19" s="1031"/>
      <c r="K19" s="1031"/>
      <c r="L19" s="1031"/>
      <c r="M19" s="1031"/>
      <c r="N19" s="1031"/>
      <c r="O19" s="1031"/>
      <c r="P19" s="1031"/>
      <c r="Q19" s="1031"/>
      <c r="R19" s="1031"/>
      <c r="S19" s="1031"/>
      <c r="T19" s="1031"/>
      <c r="U19" s="1031"/>
      <c r="V19" s="1031"/>
      <c r="W19" s="1031"/>
      <c r="X19" s="1031"/>
      <c r="Y19" s="1031"/>
      <c r="Z19" s="1031"/>
      <c r="AA19" s="1031"/>
      <c r="AB19" s="1031"/>
      <c r="AC19" s="1031"/>
      <c r="AD19" s="1031"/>
      <c r="AE19" s="1031"/>
      <c r="AF19" s="1031"/>
      <c r="AG19" s="1031"/>
      <c r="AH19" s="1031"/>
      <c r="AI19" s="1031"/>
      <c r="AJ19" s="1031"/>
      <c r="AK19" s="1031"/>
      <c r="AL19" s="1044"/>
    </row>
    <row r="20" spans="1:38" ht="13.4" customHeight="1">
      <c r="A20" s="113"/>
      <c r="B20" s="113"/>
      <c r="C20" s="114"/>
      <c r="D20" s="1217" t="s">
        <v>10</v>
      </c>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13"/>
    </row>
    <row r="21" spans="1:38" ht="13">
      <c r="A21" s="113"/>
      <c r="B21" s="113"/>
      <c r="C21" s="11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13"/>
    </row>
    <row r="22" spans="1:38" ht="13">
      <c r="A22" s="113"/>
      <c r="B22" s="113"/>
      <c r="C22" s="11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13"/>
    </row>
    <row r="23" spans="1:38" ht="13.4" customHeight="1">
      <c r="A23" s="113"/>
      <c r="B23" s="113"/>
      <c r="C23" s="11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13"/>
    </row>
    <row r="24" spans="1:38" ht="13">
      <c r="A24" s="113"/>
      <c r="B24" s="113"/>
      <c r="C24" s="11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13"/>
    </row>
    <row r="25" spans="1:38" ht="13">
      <c r="A25" s="113"/>
      <c r="B25" s="113"/>
      <c r="C25" s="11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13"/>
    </row>
    <row r="26" spans="1:38" ht="13">
      <c r="A26" s="113"/>
      <c r="B26" s="113"/>
      <c r="C26" s="11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13"/>
    </row>
    <row r="27" spans="1:38" ht="13">
      <c r="A27" s="113"/>
      <c r="B27" s="113"/>
      <c r="C27" s="11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13"/>
    </row>
    <row r="28" spans="1:38" ht="13">
      <c r="A28" s="113"/>
      <c r="B28" s="113"/>
      <c r="C28" s="114"/>
      <c r="D28" s="1217"/>
      <c r="E28" s="1217"/>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13"/>
    </row>
    <row r="29" spans="1:38" ht="13">
      <c r="A29" s="113"/>
      <c r="B29" s="113"/>
      <c r="C29" s="114"/>
      <c r="D29" s="1031"/>
      <c r="E29" s="1031"/>
      <c r="F29" s="1031"/>
      <c r="G29" s="1031"/>
      <c r="H29" s="1031"/>
      <c r="I29" s="1031"/>
      <c r="J29" s="1031"/>
      <c r="K29" s="1031"/>
      <c r="L29" s="1031"/>
      <c r="M29" s="1031"/>
      <c r="N29" s="1031"/>
      <c r="O29" s="1031"/>
      <c r="P29" s="1031"/>
      <c r="Q29" s="1031"/>
      <c r="R29" s="1031"/>
      <c r="S29" s="1031"/>
      <c r="T29" s="1031"/>
      <c r="U29" s="1031"/>
      <c r="V29" s="1031"/>
      <c r="W29" s="1031"/>
      <c r="X29" s="1031"/>
      <c r="Y29" s="1031"/>
      <c r="Z29" s="1031"/>
      <c r="AA29" s="1031"/>
      <c r="AB29" s="1031"/>
      <c r="AC29" s="1031"/>
      <c r="AD29" s="1031"/>
      <c r="AE29" s="1031"/>
      <c r="AF29" s="1031"/>
      <c r="AG29" s="1031"/>
      <c r="AH29" s="1031"/>
      <c r="AI29" s="1031"/>
      <c r="AJ29" s="1031"/>
      <c r="AK29" s="1031"/>
      <c r="AL29" s="113"/>
    </row>
    <row r="30" spans="1:38" ht="13.4" customHeight="1">
      <c r="A30" s="113"/>
      <c r="B30" s="113"/>
      <c r="C30" s="114"/>
      <c r="D30" s="1217" t="s">
        <v>11</v>
      </c>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13"/>
    </row>
    <row r="31" spans="1:38" ht="13">
      <c r="A31" s="113"/>
      <c r="B31" s="113"/>
      <c r="C31" s="114"/>
      <c r="D31" s="1044"/>
      <c r="E31" s="1218" t="s">
        <v>12</v>
      </c>
      <c r="F31" s="1219"/>
      <c r="G31" s="1219"/>
      <c r="H31" s="1219"/>
      <c r="I31" s="1219"/>
      <c r="J31" s="1219"/>
      <c r="K31" s="1219"/>
      <c r="L31" s="1219"/>
      <c r="M31" s="1219"/>
      <c r="N31" s="1219"/>
      <c r="O31" s="1219"/>
      <c r="P31" s="1219"/>
      <c r="Q31" s="1219"/>
      <c r="R31" s="1219"/>
      <c r="S31" s="1219"/>
      <c r="T31" s="1219"/>
      <c r="U31" s="1219"/>
      <c r="V31" s="1219"/>
      <c r="W31" s="1219"/>
      <c r="X31" s="1219"/>
      <c r="Y31" s="1219"/>
      <c r="Z31" s="1219"/>
      <c r="AA31" s="1219"/>
      <c r="AB31" s="1219"/>
      <c r="AC31" s="1219"/>
      <c r="AD31" s="1219"/>
      <c r="AE31" s="1219"/>
      <c r="AF31" s="1219"/>
      <c r="AG31" s="1219"/>
      <c r="AH31" s="1219"/>
      <c r="AI31" s="1219"/>
      <c r="AJ31" s="1219"/>
      <c r="AK31" s="1219"/>
      <c r="AL31" s="113"/>
    </row>
    <row r="32" spans="1:38" ht="13">
      <c r="A32" s="2"/>
      <c r="C32" s="1"/>
    </row>
    <row r="33" spans="1:38">
      <c r="A33" s="2"/>
      <c r="D33" s="1229" t="s">
        <v>13</v>
      </c>
      <c r="E33" s="1229"/>
      <c r="F33" s="1229"/>
      <c r="G33" s="1229"/>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row>
    <row r="34" spans="1:38">
      <c r="A34" s="2"/>
      <c r="D34" s="1229"/>
      <c r="E34" s="1229"/>
      <c r="F34" s="1229"/>
      <c r="G34" s="1229"/>
      <c r="H34" s="1229"/>
      <c r="I34" s="1229"/>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row>
    <row r="35" spans="1:38" ht="13">
      <c r="A35" s="2"/>
      <c r="D35" s="70"/>
      <c r="E35" s="1224" t="s">
        <v>14</v>
      </c>
      <c r="F35" s="1224"/>
      <c r="G35" s="1224"/>
      <c r="H35" s="1224"/>
      <c r="I35" s="1224"/>
      <c r="J35" s="1224"/>
      <c r="K35" s="1224"/>
      <c r="L35" s="1224"/>
      <c r="M35" s="1224"/>
      <c r="N35" s="1224"/>
      <c r="O35" s="1224"/>
      <c r="P35" s="122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row>
    <row r="36" spans="1:38" ht="13">
      <c r="A36" s="2"/>
      <c r="D36" s="70"/>
      <c r="E36" s="1224" t="s">
        <v>15</v>
      </c>
      <c r="F36" s="1224"/>
      <c r="G36" s="1224"/>
      <c r="H36" s="1224"/>
      <c r="I36" s="1224"/>
      <c r="J36" s="1224"/>
      <c r="K36" s="1224"/>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row>
    <row r="37" spans="1:38" ht="13">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ht="13">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6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17" customFormat="1" ht="13.4" customHeight="1">
      <c r="A40" s="2"/>
      <c r="B40"/>
      <c r="C40" s="1"/>
      <c r="D40" s="2"/>
      <c r="E40" s="2" t="s">
        <v>20</v>
      </c>
      <c r="F40" s="1217" t="s">
        <v>21</v>
      </c>
    </row>
    <row r="41" spans="1:38" s="1217" customFormat="1" ht="13.4" customHeight="1">
      <c r="A41" s="2"/>
      <c r="B41"/>
      <c r="C41" s="1"/>
      <c r="D41" s="2"/>
      <c r="E41" s="2"/>
    </row>
    <row r="42" spans="1:38" ht="13">
      <c r="A42" s="2"/>
      <c r="C42" s="1"/>
      <c r="D42" s="2"/>
      <c r="E42" s="2"/>
      <c r="F42" s="68" t="s">
        <v>22</v>
      </c>
      <c r="G42" s="2" t="s">
        <v>23</v>
      </c>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4"/>
      <c r="AI42" s="1044"/>
      <c r="AJ42" s="1044"/>
      <c r="AK42" s="1044"/>
    </row>
    <row r="43" spans="1:38" s="68" customFormat="1" ht="13.4" customHeight="1">
      <c r="A43" s="2"/>
      <c r="B43"/>
      <c r="C43" s="1"/>
      <c r="D43" s="2"/>
      <c r="E43" s="2" t="s">
        <v>24</v>
      </c>
      <c r="F43" s="1223" t="s">
        <v>25</v>
      </c>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row>
    <row r="44" spans="1:38" s="68" customFormat="1" ht="13">
      <c r="A44" s="2"/>
      <c r="B44"/>
      <c r="C44" s="1"/>
      <c r="D44" s="2"/>
      <c r="E44" s="2"/>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row>
    <row r="45" spans="1:38" s="68" customFormat="1" ht="13.4" customHeight="1">
      <c r="A45" s="2"/>
      <c r="B45"/>
      <c r="C45" s="1"/>
      <c r="D45" s="2"/>
      <c r="E45" s="2"/>
      <c r="F45" s="1223"/>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ht="13">
      <c r="A46" s="2"/>
      <c r="C46" s="1"/>
      <c r="D46" s="2"/>
      <c r="E46" s="2"/>
      <c r="F46" s="68" t="s">
        <v>22</v>
      </c>
      <c r="G46" s="2" t="s">
        <v>26</v>
      </c>
      <c r="H46" s="1070"/>
      <c r="I46" s="1070"/>
      <c r="J46" s="1070"/>
      <c r="K46" s="1070"/>
      <c r="L46" s="1070"/>
      <c r="M46" s="1070"/>
      <c r="N46" s="1070"/>
      <c r="O46" s="1070"/>
      <c r="P46" s="1070"/>
      <c r="Q46" s="1070"/>
      <c r="R46" s="1070"/>
      <c r="S46" s="1070"/>
      <c r="T46" s="1070"/>
      <c r="U46" s="1070"/>
      <c r="V46" s="1070"/>
      <c r="W46" s="1070"/>
      <c r="X46" s="1070"/>
      <c r="Y46" s="1070"/>
      <c r="Z46" s="1070"/>
      <c r="AA46" s="1070"/>
      <c r="AB46" s="1070"/>
      <c r="AC46" s="1070"/>
      <c r="AD46" s="1070"/>
      <c r="AE46" s="1070"/>
      <c r="AF46" s="1070"/>
      <c r="AG46" s="1070"/>
      <c r="AH46" s="1070"/>
      <c r="AI46" s="1070"/>
      <c r="AJ46" s="1070"/>
      <c r="AK46" s="1070"/>
      <c r="AL46" s="1070"/>
    </row>
    <row r="47" spans="1:38" ht="13">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ht="13">
      <c r="A48" s="2"/>
      <c r="C48" s="1"/>
      <c r="D48" s="2"/>
      <c r="E48" s="2" t="s">
        <v>29</v>
      </c>
      <c r="F48" s="1217" t="s">
        <v>30</v>
      </c>
      <c r="G48" s="1217"/>
      <c r="H48" s="1217"/>
      <c r="I48" s="1217"/>
      <c r="J48" s="1217"/>
      <c r="K48" s="1217"/>
      <c r="L48" s="1217"/>
      <c r="M48" s="1217"/>
      <c r="N48" s="1217"/>
      <c r="O48" s="1217"/>
      <c r="P48" s="1217"/>
      <c r="Q48" s="1217"/>
      <c r="R48" s="1217"/>
      <c r="S48" s="1217"/>
      <c r="T48" s="1217"/>
      <c r="U48" s="1217"/>
      <c r="V48" s="1217"/>
      <c r="W48" s="1217"/>
      <c r="X48" s="1217"/>
      <c r="Y48" s="1217"/>
      <c r="Z48" s="1217"/>
      <c r="AA48" s="1217"/>
      <c r="AB48" s="1217"/>
      <c r="AC48" s="1217"/>
      <c r="AD48" s="1217"/>
      <c r="AE48" s="1217"/>
      <c r="AF48" s="1217"/>
      <c r="AG48" s="1217"/>
      <c r="AH48" s="1217"/>
      <c r="AI48" s="1217"/>
      <c r="AJ48" s="1217"/>
      <c r="AK48" s="1217"/>
    </row>
    <row r="49" spans="1:38" ht="13">
      <c r="A49" s="2"/>
      <c r="C49" s="1"/>
      <c r="D49" s="2"/>
      <c r="E49" s="2"/>
      <c r="F49" s="1217"/>
      <c r="G49" s="1217"/>
      <c r="H49" s="1217"/>
      <c r="I49" s="1217"/>
      <c r="J49" s="1217"/>
      <c r="K49" s="1217"/>
      <c r="L49" s="1217"/>
      <c r="M49" s="1217"/>
      <c r="N49" s="1217"/>
      <c r="O49" s="1217"/>
      <c r="P49" s="1217"/>
      <c r="Q49" s="1217"/>
      <c r="R49" s="1217"/>
      <c r="S49" s="1217"/>
      <c r="T49" s="1217"/>
      <c r="U49" s="1217"/>
      <c r="V49" s="1217"/>
      <c r="W49" s="1217"/>
      <c r="X49" s="1217"/>
      <c r="Y49" s="1217"/>
      <c r="Z49" s="1217"/>
      <c r="AA49" s="1217"/>
      <c r="AB49" s="1217"/>
      <c r="AC49" s="1217"/>
      <c r="AD49" s="1217"/>
      <c r="AE49" s="1217"/>
      <c r="AF49" s="1217"/>
      <c r="AG49" s="1217"/>
      <c r="AH49" s="1217"/>
      <c r="AI49" s="1217"/>
      <c r="AJ49" s="1217"/>
      <c r="AK49" s="1217"/>
    </row>
    <row r="50" spans="1:38" ht="13">
      <c r="A50" s="2"/>
      <c r="C50" s="1"/>
      <c r="D50" s="2"/>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ht="13">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ht="13">
      <c r="A52" s="2"/>
      <c r="C52" s="1"/>
      <c r="D52" s="2" t="s">
        <v>31</v>
      </c>
      <c r="E52" s="2" t="s">
        <v>32</v>
      </c>
      <c r="F52" s="2"/>
      <c r="G52" s="2"/>
      <c r="H52" s="2"/>
      <c r="I52" s="2"/>
      <c r="J52" s="1146"/>
      <c r="K52" s="1146"/>
      <c r="L52" s="1146"/>
      <c r="M52" s="1146"/>
      <c r="N52" s="1146"/>
      <c r="O52" s="70"/>
      <c r="P52" s="70"/>
      <c r="Q52" s="70"/>
      <c r="R52" s="70"/>
      <c r="S52" s="70"/>
      <c r="T52" s="70"/>
      <c r="U52" s="2"/>
      <c r="V52" s="2"/>
      <c r="W52" s="2"/>
      <c r="X52" s="2"/>
      <c r="Y52" s="2"/>
      <c r="Z52" s="2"/>
      <c r="AA52" s="2"/>
      <c r="AB52" s="2"/>
    </row>
    <row r="53" spans="1:38" ht="13">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4" customHeight="1">
      <c r="A54" s="113"/>
      <c r="B54" s="113"/>
      <c r="C54" s="114"/>
      <c r="D54" s="114"/>
      <c r="E54" s="113"/>
      <c r="F54" s="115" t="s">
        <v>22</v>
      </c>
      <c r="G54" s="1222" t="s">
        <v>34</v>
      </c>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13"/>
    </row>
    <row r="55" spans="1:38" ht="13.4" customHeight="1">
      <c r="A55" s="113"/>
      <c r="B55" s="113"/>
      <c r="C55" s="114"/>
      <c r="D55" s="114"/>
      <c r="E55" s="113"/>
      <c r="F55" s="115"/>
      <c r="G55" s="333" t="s">
        <v>35</v>
      </c>
      <c r="H55" s="1033"/>
      <c r="I55" s="1033"/>
      <c r="J55" s="1033"/>
      <c r="K55" s="1033"/>
      <c r="L55" s="1033"/>
      <c r="M55" s="1033"/>
      <c r="N55" s="1033"/>
      <c r="O55" s="1033"/>
      <c r="P55" s="1033"/>
      <c r="Q55" s="1033"/>
      <c r="R55" s="1033"/>
      <c r="S55" s="1033"/>
      <c r="T55" s="1033"/>
      <c r="U55" s="1033"/>
      <c r="V55" s="1033"/>
      <c r="W55" s="1033"/>
      <c r="X55" s="1033"/>
      <c r="Y55" s="1033"/>
      <c r="Z55" s="1033"/>
      <c r="AA55" s="1033"/>
      <c r="AB55" s="1033"/>
      <c r="AC55" s="1033"/>
      <c r="AD55" s="1033"/>
      <c r="AE55" s="1033"/>
      <c r="AF55" s="1033"/>
      <c r="AG55" s="1033"/>
      <c r="AH55" s="1033"/>
      <c r="AI55" s="1033"/>
      <c r="AJ55" s="1033"/>
      <c r="AK55" s="1033"/>
      <c r="AL55" s="113"/>
    </row>
    <row r="56" spans="1:38" ht="13">
      <c r="A56" s="113"/>
      <c r="B56" s="113"/>
      <c r="C56" s="114"/>
      <c r="D56" s="114"/>
      <c r="E56" s="113"/>
      <c r="F56" s="115"/>
      <c r="G56" s="1222" t="s">
        <v>36</v>
      </c>
      <c r="H56" s="1222"/>
      <c r="I56" s="1222"/>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4" customHeight="1">
      <c r="A57" s="113"/>
      <c r="B57" s="114"/>
      <c r="C57" s="114"/>
      <c r="D57" s="114"/>
      <c r="E57" s="113"/>
      <c r="F57" s="115" t="s">
        <v>27</v>
      </c>
      <c r="G57" s="1222" t="s">
        <v>37</v>
      </c>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row>
    <row r="58" spans="1:38" ht="13">
      <c r="A58" s="113"/>
      <c r="B58" s="113"/>
      <c r="C58" s="114"/>
      <c r="D58" s="114"/>
      <c r="E58" s="113"/>
      <c r="F58" s="115"/>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row>
    <row r="59" spans="1:38" ht="13">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ht="13">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ht="13">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ht="13">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ht="13">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ht="13">
      <c r="A64" s="2"/>
      <c r="C64" s="1"/>
      <c r="D64" s="2"/>
      <c r="E64" s="2"/>
      <c r="F64" t="s">
        <v>22</v>
      </c>
      <c r="G64" s="1217" t="s">
        <v>42</v>
      </c>
      <c r="H64" s="1217"/>
      <c r="I64" s="1217"/>
      <c r="J64" s="1217"/>
      <c r="K64" s="1217"/>
      <c r="L64" s="1217"/>
      <c r="M64" s="1217"/>
      <c r="N64" s="1217"/>
      <c r="O64" s="1217"/>
      <c r="P64" s="1217"/>
      <c r="Q64" s="1217"/>
      <c r="R64" s="1217"/>
      <c r="S64" s="1217"/>
      <c r="T64" s="1217"/>
      <c r="U64" s="1217"/>
      <c r="V64" s="1217"/>
      <c r="W64" s="1217"/>
      <c r="X64" s="1217"/>
      <c r="Y64" s="1217"/>
      <c r="Z64" s="1217"/>
      <c r="AA64" s="1217"/>
      <c r="AB64" s="1217"/>
      <c r="AC64" s="1217"/>
      <c r="AD64" s="1217"/>
      <c r="AE64" s="1217"/>
      <c r="AF64" s="1217"/>
      <c r="AG64" s="1217"/>
      <c r="AH64" s="1217"/>
      <c r="AI64" s="1217"/>
      <c r="AJ64" s="1217"/>
      <c r="AK64" s="1217"/>
    </row>
    <row r="65" spans="1:37" ht="13">
      <c r="A65" s="2"/>
      <c r="C65" s="1"/>
      <c r="D65" s="2"/>
      <c r="E65" s="2"/>
      <c r="G65" s="1217"/>
      <c r="H65" s="1217"/>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1217"/>
      <c r="AG65" s="1217"/>
      <c r="AH65" s="1217"/>
      <c r="AI65" s="1217"/>
      <c r="AJ65" s="1217"/>
      <c r="AK65" s="1217"/>
    </row>
    <row r="66" spans="1:37" ht="13">
      <c r="A66" s="2"/>
      <c r="C66" s="1"/>
      <c r="D66" s="2"/>
      <c r="E66" s="2"/>
      <c r="G66" s="1217"/>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ht="13.4" customHeight="1">
      <c r="A67" s="2"/>
      <c r="C67" s="1"/>
      <c r="D67" s="2"/>
      <c r="E67" s="2"/>
      <c r="F67" t="s">
        <v>27</v>
      </c>
      <c r="G67" s="1217" t="s">
        <v>43</v>
      </c>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ht="13">
      <c r="A68" s="2"/>
      <c r="C68" s="1"/>
      <c r="D68" s="2"/>
      <c r="E68" s="2"/>
      <c r="F68" s="21"/>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
      <c r="A69" s="2"/>
      <c r="C69" s="1"/>
      <c r="D69" s="2"/>
      <c r="E69" s="2" t="s">
        <v>24</v>
      </c>
      <c r="F69" s="2" t="s">
        <v>44</v>
      </c>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044"/>
      <c r="AC69" s="1044"/>
      <c r="AD69" s="1044"/>
      <c r="AE69" s="1044"/>
      <c r="AF69" s="1044"/>
      <c r="AG69" s="1044"/>
      <c r="AH69" s="1044"/>
      <c r="AI69" s="1044"/>
      <c r="AJ69" s="1044"/>
      <c r="AK69" s="1044"/>
    </row>
    <row r="70" spans="1:37" ht="13">
      <c r="A70" s="2"/>
      <c r="C70" s="1"/>
      <c r="D70" s="2"/>
      <c r="E70" s="2"/>
      <c r="F70" s="6" t="s">
        <v>22</v>
      </c>
      <c r="G70" s="1217" t="s">
        <v>45</v>
      </c>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ht="13">
      <c r="A71" s="2"/>
      <c r="C71" s="1"/>
      <c r="D71" s="2"/>
      <c r="E71" s="2"/>
      <c r="F71" s="6"/>
      <c r="G71" s="1217"/>
      <c r="H71" s="1217"/>
      <c r="I71" s="1217"/>
      <c r="J71" s="1217"/>
      <c r="K71" s="1217"/>
      <c r="L71" s="1217"/>
      <c r="M71" s="1217"/>
      <c r="N71" s="1217"/>
      <c r="O71" s="1217"/>
      <c r="P71" s="1217"/>
      <c r="Q71" s="1217"/>
      <c r="R71" s="1217"/>
      <c r="S71" s="1217"/>
      <c r="T71" s="1217"/>
      <c r="U71" s="1217"/>
      <c r="V71" s="1217"/>
      <c r="W71" s="1217"/>
      <c r="X71" s="1217"/>
      <c r="Y71" s="1217"/>
      <c r="Z71" s="1217"/>
      <c r="AA71" s="1217"/>
      <c r="AB71" s="1217"/>
      <c r="AC71" s="1217"/>
      <c r="AD71" s="1217"/>
      <c r="AE71" s="1217"/>
      <c r="AF71" s="1217"/>
      <c r="AG71" s="1217"/>
      <c r="AH71" s="1217"/>
      <c r="AI71" s="1217"/>
      <c r="AJ71" s="1217"/>
      <c r="AK71" s="1217"/>
    </row>
    <row r="72" spans="1:37" ht="13">
      <c r="A72" s="2"/>
      <c r="C72" s="1"/>
      <c r="D72" s="2"/>
      <c r="E72" s="2"/>
      <c r="F72" s="6" t="s">
        <v>27</v>
      </c>
      <c r="G72" s="1217" t="s">
        <v>46</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ht="13">
      <c r="A73" s="2"/>
      <c r="C73" s="1"/>
      <c r="D73" s="2"/>
      <c r="E73" s="2"/>
      <c r="F73" s="6"/>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ht="13">
      <c r="A74" s="2"/>
      <c r="C74" s="1"/>
      <c r="D74" s="2"/>
      <c r="E74" s="2"/>
      <c r="F74" s="6"/>
      <c r="G74" s="70" t="s">
        <v>47</v>
      </c>
      <c r="H74" s="2"/>
      <c r="J74" s="70"/>
      <c r="K74" s="70"/>
      <c r="L74" s="70"/>
      <c r="P74" s="2"/>
      <c r="Q74" s="2"/>
      <c r="R74" s="2"/>
      <c r="S74" s="2"/>
      <c r="T74" s="2"/>
      <c r="U74" s="2"/>
      <c r="V74" s="2"/>
      <c r="W74" s="2"/>
      <c r="X74" s="2"/>
      <c r="Y74" s="2"/>
      <c r="Z74" s="2"/>
      <c r="AA74" s="2"/>
      <c r="AB74" s="2"/>
    </row>
    <row r="75" spans="1:37" ht="13">
      <c r="A75" s="2"/>
      <c r="C75" s="1"/>
      <c r="D75" s="2"/>
      <c r="E75" s="2"/>
      <c r="F75" s="6"/>
      <c r="G75" s="70" t="s">
        <v>48</v>
      </c>
      <c r="J75" s="70"/>
      <c r="K75" s="70"/>
      <c r="L75" s="70"/>
      <c r="P75" s="2"/>
      <c r="Q75" s="2"/>
      <c r="R75" s="2"/>
      <c r="S75" s="2"/>
      <c r="T75" s="2"/>
      <c r="U75" s="2"/>
      <c r="V75" s="2"/>
      <c r="W75" s="2"/>
      <c r="X75" s="2"/>
      <c r="Y75" s="2"/>
      <c r="Z75" s="2"/>
      <c r="AA75" s="2"/>
      <c r="AB75" s="2"/>
    </row>
    <row r="76" spans="1:37" ht="13">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ht="13">
      <c r="A77" s="2"/>
      <c r="C77" s="1"/>
      <c r="D77" s="2"/>
      <c r="E77" s="2"/>
      <c r="F77" s="2"/>
      <c r="G77" s="2" t="s">
        <v>51</v>
      </c>
      <c r="H77" s="2" t="s">
        <v>52</v>
      </c>
      <c r="K77" s="2"/>
      <c r="L77" s="2"/>
      <c r="M77" s="2"/>
      <c r="P77" s="2"/>
      <c r="Q77" s="2"/>
      <c r="R77" s="2"/>
      <c r="S77" s="2"/>
      <c r="T77" s="2"/>
      <c r="U77" s="2"/>
      <c r="V77" s="2"/>
      <c r="W77" s="2"/>
      <c r="X77" s="2"/>
      <c r="Y77" s="2"/>
      <c r="Z77" s="2"/>
      <c r="AA77" s="2"/>
      <c r="AB77" s="2"/>
    </row>
    <row r="78" spans="1:37" ht="13">
      <c r="A78" s="2"/>
      <c r="C78" s="1"/>
      <c r="D78" s="2"/>
      <c r="E78" s="2"/>
      <c r="F78" s="2"/>
      <c r="G78" s="2" t="s">
        <v>53</v>
      </c>
      <c r="H78" s="2" t="s">
        <v>54</v>
      </c>
      <c r="K78" s="2"/>
      <c r="L78" s="2"/>
      <c r="M78" s="2"/>
      <c r="P78" s="2"/>
      <c r="Q78" s="2"/>
      <c r="R78" s="2"/>
      <c r="S78" s="2"/>
      <c r="T78" s="2"/>
      <c r="U78" s="2"/>
      <c r="V78" s="2"/>
      <c r="W78" s="2"/>
      <c r="X78" s="2"/>
      <c r="Y78" s="2"/>
      <c r="Z78" s="2"/>
      <c r="AA78" s="2"/>
      <c r="AB78" s="2"/>
    </row>
    <row r="79" spans="1:37" ht="13">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ht="13">
      <c r="A80" s="2"/>
      <c r="C80" s="1"/>
      <c r="D80" s="2"/>
      <c r="E80" s="2"/>
      <c r="F80" s="6"/>
      <c r="G80" s="1217" t="s">
        <v>56</v>
      </c>
      <c r="H80" s="1217"/>
      <c r="I80" s="1217"/>
      <c r="J80" s="1217"/>
      <c r="K80" s="1217"/>
      <c r="L80" s="1217"/>
      <c r="M80" s="1217"/>
      <c r="N80" s="1217"/>
      <c r="O80" s="1217"/>
      <c r="P80" s="1217"/>
      <c r="Q80" s="1217"/>
      <c r="R80" s="1217"/>
      <c r="S80" s="1217"/>
      <c r="T80" s="1217"/>
      <c r="U80" s="1217"/>
      <c r="V80" s="1217"/>
      <c r="W80" s="1217"/>
      <c r="X80" s="1217"/>
      <c r="Y80" s="1217"/>
      <c r="Z80" s="1217"/>
      <c r="AA80" s="1217"/>
      <c r="AB80" s="1217"/>
      <c r="AC80" s="1217"/>
      <c r="AD80" s="1217"/>
      <c r="AE80" s="1217"/>
      <c r="AF80" s="1217"/>
      <c r="AG80" s="1217"/>
      <c r="AH80" s="1217"/>
      <c r="AI80" s="1217"/>
      <c r="AJ80" s="1217"/>
      <c r="AK80" s="1217"/>
    </row>
    <row r="81" spans="1:37" ht="13">
      <c r="A81" s="2"/>
      <c r="C81" s="1"/>
      <c r="D81" s="2"/>
      <c r="E81" s="2"/>
      <c r="F81" s="2"/>
      <c r="G81" s="1217"/>
      <c r="H81" s="1217"/>
      <c r="I81" s="1217"/>
      <c r="J81" s="1217"/>
      <c r="K81" s="1217"/>
      <c r="L81" s="1217"/>
      <c r="M81" s="1217"/>
      <c r="N81" s="1217"/>
      <c r="O81" s="1217"/>
      <c r="P81" s="1217"/>
      <c r="Q81" s="1217"/>
      <c r="R81" s="1217"/>
      <c r="S81" s="1217"/>
      <c r="T81" s="1217"/>
      <c r="U81" s="1217"/>
      <c r="V81" s="1217"/>
      <c r="W81" s="1217"/>
      <c r="X81" s="1217"/>
      <c r="Y81" s="1217"/>
      <c r="Z81" s="1217"/>
      <c r="AA81" s="1217"/>
      <c r="AB81" s="1217"/>
      <c r="AC81" s="1217"/>
      <c r="AD81" s="1217"/>
      <c r="AE81" s="1217"/>
      <c r="AF81" s="1217"/>
      <c r="AG81" s="1217"/>
      <c r="AH81" s="1217"/>
      <c r="AI81" s="1217"/>
      <c r="AJ81" s="1217"/>
      <c r="AK81" s="1217"/>
    </row>
    <row r="82" spans="1:37" ht="13">
      <c r="A82" s="2"/>
      <c r="C82" s="1"/>
      <c r="D82" s="2"/>
      <c r="E82" s="2"/>
      <c r="F82" s="2"/>
      <c r="G82" s="1217"/>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ht="13">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ht="13">
      <c r="A84" s="2"/>
      <c r="C84" s="1"/>
      <c r="D84" s="2"/>
      <c r="E84" s="2"/>
      <c r="F84" s="6"/>
      <c r="G84" s="1217" t="s">
        <v>59</v>
      </c>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ht="13">
      <c r="A85" s="2"/>
      <c r="C85" s="1"/>
      <c r="D85" s="2"/>
      <c r="E85" s="2"/>
      <c r="F85" s="2"/>
      <c r="G85" s="1217"/>
      <c r="H85" s="1217"/>
      <c r="I85" s="1217"/>
      <c r="J85" s="1217"/>
      <c r="K85" s="1217"/>
      <c r="L85" s="1217"/>
      <c r="M85" s="1217"/>
      <c r="N85" s="1217"/>
      <c r="O85" s="1217"/>
      <c r="P85" s="1217"/>
      <c r="Q85" s="1217"/>
      <c r="R85" s="1217"/>
      <c r="S85" s="1217"/>
      <c r="T85" s="1217"/>
      <c r="U85" s="1217"/>
      <c r="V85" s="1217"/>
      <c r="W85" s="1217"/>
      <c r="X85" s="1217"/>
      <c r="Y85" s="1217"/>
      <c r="Z85" s="1217"/>
      <c r="AA85" s="1217"/>
      <c r="AB85" s="1217"/>
      <c r="AC85" s="1217"/>
      <c r="AD85" s="1217"/>
      <c r="AE85" s="1217"/>
      <c r="AF85" s="1217"/>
      <c r="AG85" s="1217"/>
      <c r="AH85" s="1217"/>
      <c r="AI85" s="1217"/>
      <c r="AJ85" s="1217"/>
      <c r="AK85" s="1217"/>
    </row>
    <row r="86" spans="1:37" ht="13">
      <c r="A86" s="2"/>
      <c r="C86" s="1"/>
      <c r="D86" s="2"/>
      <c r="E86" s="2"/>
      <c r="G86" s="1217"/>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ht="13">
      <c r="A87" s="2"/>
      <c r="C87" s="1"/>
      <c r="D87" s="2"/>
      <c r="E87" s="2" t="s">
        <v>60</v>
      </c>
      <c r="F87" t="s">
        <v>61</v>
      </c>
      <c r="G87" s="2"/>
      <c r="L87" s="2"/>
      <c r="M87" s="2"/>
      <c r="P87" s="2"/>
      <c r="Q87" s="2"/>
      <c r="R87" s="2"/>
      <c r="S87" s="2"/>
      <c r="T87" s="2"/>
      <c r="U87" s="2"/>
      <c r="V87" s="2"/>
      <c r="W87" s="2"/>
      <c r="X87" s="2"/>
      <c r="Y87" s="2"/>
      <c r="Z87" s="2"/>
      <c r="AA87" s="2"/>
      <c r="AB87" s="2"/>
    </row>
    <row r="88" spans="1:37" ht="13">
      <c r="A88" s="2"/>
      <c r="C88" s="1"/>
      <c r="D88" s="2"/>
      <c r="E88" s="2"/>
      <c r="G88" s="1220" t="s">
        <v>62</v>
      </c>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ht="13">
      <c r="A89" s="2"/>
      <c r="C89" s="1"/>
      <c r="D89" s="2"/>
      <c r="E89" s="2"/>
      <c r="G89" s="1220"/>
      <c r="H89" s="1220"/>
      <c r="I89" s="1220"/>
      <c r="J89" s="1220"/>
      <c r="K89" s="1220"/>
      <c r="L89" s="1220"/>
      <c r="M89" s="1220"/>
      <c r="N89" s="1220"/>
      <c r="O89" s="1220"/>
      <c r="P89" s="1220"/>
      <c r="Q89" s="1220"/>
      <c r="R89" s="1220"/>
      <c r="S89" s="1220"/>
      <c r="T89" s="1220"/>
      <c r="U89" s="1220"/>
      <c r="V89" s="1220"/>
      <c r="W89" s="1220"/>
      <c r="X89" s="1220"/>
      <c r="Y89" s="1220"/>
      <c r="Z89" s="1220"/>
      <c r="AA89" s="1220"/>
      <c r="AB89" s="1220"/>
      <c r="AC89" s="1220"/>
      <c r="AD89" s="1220"/>
      <c r="AE89" s="1220"/>
      <c r="AF89" s="1220"/>
      <c r="AG89" s="1220"/>
      <c r="AH89" s="1220"/>
      <c r="AI89" s="1220"/>
      <c r="AJ89" s="1220"/>
      <c r="AK89" s="1220"/>
    </row>
    <row r="90" spans="1:37" ht="13">
      <c r="A90" s="2"/>
      <c r="C90" s="1"/>
      <c r="D90" s="2"/>
      <c r="E90" s="2"/>
      <c r="G90" s="1220"/>
      <c r="H90" s="1220"/>
      <c r="I90" s="1220"/>
      <c r="J90" s="1220"/>
      <c r="K90" s="1220"/>
      <c r="L90" s="1220"/>
      <c r="M90" s="1220"/>
      <c r="N90" s="1220"/>
      <c r="O90" s="1220"/>
      <c r="P90" s="1220"/>
      <c r="Q90" s="1220"/>
      <c r="R90" s="1220"/>
      <c r="S90" s="1220"/>
      <c r="T90" s="1220"/>
      <c r="U90" s="1220"/>
      <c r="V90" s="1220"/>
      <c r="W90" s="1220"/>
      <c r="X90" s="1220"/>
      <c r="Y90" s="1220"/>
      <c r="Z90" s="1220"/>
      <c r="AA90" s="1220"/>
      <c r="AB90" s="1220"/>
      <c r="AC90" s="1220"/>
      <c r="AD90" s="1220"/>
      <c r="AE90" s="1220"/>
      <c r="AF90" s="1220"/>
      <c r="AG90" s="1220"/>
      <c r="AH90" s="1220"/>
      <c r="AI90" s="1220"/>
      <c r="AJ90" s="1220"/>
      <c r="AK90" s="1220"/>
    </row>
    <row r="91" spans="1:37" ht="13">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ht="13">
      <c r="A92" s="2"/>
      <c r="C92" s="1"/>
      <c r="D92" s="2"/>
      <c r="E92" s="2"/>
      <c r="F92" s="2"/>
      <c r="G92" s="1217" t="s">
        <v>65</v>
      </c>
      <c r="H92" s="1217"/>
      <c r="I92" s="1217"/>
      <c r="J92" s="1217"/>
      <c r="K92" s="1217"/>
      <c r="L92" s="1217"/>
      <c r="M92" s="1217"/>
      <c r="N92" s="1217"/>
      <c r="O92" s="1217"/>
      <c r="P92" s="1217"/>
      <c r="Q92" s="1217"/>
      <c r="R92" s="1217"/>
      <c r="S92" s="1217"/>
      <c r="T92" s="1217"/>
      <c r="U92" s="1217"/>
      <c r="V92" s="1217"/>
      <c r="W92" s="1217"/>
      <c r="X92" s="1217"/>
      <c r="Y92" s="1217"/>
      <c r="Z92" s="1217"/>
      <c r="AA92" s="1217"/>
      <c r="AB92" s="1217"/>
      <c r="AC92" s="1217"/>
      <c r="AD92" s="1217"/>
      <c r="AE92" s="1217"/>
      <c r="AF92" s="1217"/>
      <c r="AG92" s="1217"/>
      <c r="AH92" s="1217"/>
      <c r="AI92" s="1217"/>
      <c r="AJ92" s="1217"/>
      <c r="AK92" s="1217"/>
    </row>
    <row r="93" spans="1:37" ht="13">
      <c r="A93" s="2"/>
      <c r="C93" s="1"/>
      <c r="D93" s="2"/>
      <c r="E93" s="2"/>
      <c r="G93" s="1217"/>
      <c r="H93" s="1217"/>
      <c r="I93" s="1217"/>
      <c r="J93" s="1217"/>
      <c r="K93" s="1217"/>
      <c r="L93" s="1217"/>
      <c r="M93" s="1217"/>
      <c r="N93" s="1217"/>
      <c r="O93" s="1217"/>
      <c r="P93" s="1217"/>
      <c r="Q93" s="1217"/>
      <c r="R93" s="1217"/>
      <c r="S93" s="1217"/>
      <c r="T93" s="1217"/>
      <c r="U93" s="1217"/>
      <c r="V93" s="1217"/>
      <c r="W93" s="1217"/>
      <c r="X93" s="1217"/>
      <c r="Y93" s="1217"/>
      <c r="Z93" s="1217"/>
      <c r="AA93" s="1217"/>
      <c r="AB93" s="1217"/>
      <c r="AC93" s="1217"/>
      <c r="AD93" s="1217"/>
      <c r="AE93" s="1217"/>
      <c r="AF93" s="1217"/>
      <c r="AG93" s="1217"/>
      <c r="AH93" s="1217"/>
      <c r="AI93" s="1217"/>
      <c r="AJ93" s="1217"/>
      <c r="AK93" s="1217"/>
    </row>
    <row r="94" spans="1:37" ht="13">
      <c r="A94" s="2"/>
      <c r="C94" s="1"/>
      <c r="D94" s="2"/>
      <c r="E94" s="2" t="s">
        <v>66</v>
      </c>
      <c r="F94" s="113" t="s">
        <v>67</v>
      </c>
      <c r="G94" s="113"/>
      <c r="L94" s="2"/>
      <c r="M94" s="2"/>
      <c r="P94" s="2"/>
      <c r="Q94" s="2"/>
      <c r="R94" s="2"/>
      <c r="S94" s="2"/>
      <c r="T94" s="2"/>
      <c r="U94" s="2"/>
      <c r="V94" s="2"/>
      <c r="W94" s="2"/>
      <c r="X94" s="2"/>
      <c r="Y94" s="2"/>
      <c r="Z94" s="2"/>
      <c r="AA94" s="2"/>
      <c r="AB94" s="2"/>
    </row>
    <row r="95" spans="1:37" ht="13">
      <c r="A95" s="2"/>
      <c r="C95" s="1"/>
      <c r="D95" s="2"/>
      <c r="E95" s="2"/>
      <c r="G95" s="1217" t="s">
        <v>68</v>
      </c>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ht="13">
      <c r="A96" s="2"/>
      <c r="C96" s="1"/>
      <c r="D96" s="2"/>
      <c r="E96" s="2"/>
      <c r="G96" s="1217"/>
      <c r="H96" s="1217"/>
      <c r="I96" s="1217"/>
      <c r="J96" s="1217"/>
      <c r="K96" s="1217"/>
      <c r="L96" s="1217"/>
      <c r="M96" s="1217"/>
      <c r="N96" s="1217"/>
      <c r="O96" s="1217"/>
      <c r="P96" s="1217"/>
      <c r="Q96" s="1217"/>
      <c r="R96" s="1217"/>
      <c r="S96" s="1217"/>
      <c r="T96" s="1217"/>
      <c r="U96" s="1217"/>
      <c r="V96" s="1217"/>
      <c r="W96" s="1217"/>
      <c r="X96" s="1217"/>
      <c r="Y96" s="1217"/>
      <c r="Z96" s="1217"/>
      <c r="AA96" s="1217"/>
      <c r="AB96" s="1217"/>
      <c r="AC96" s="1217"/>
      <c r="AD96" s="1217"/>
      <c r="AE96" s="1217"/>
      <c r="AF96" s="1217"/>
      <c r="AG96" s="1217"/>
      <c r="AH96" s="1217"/>
      <c r="AI96" s="1217"/>
      <c r="AJ96" s="1217"/>
      <c r="AK96" s="1217"/>
    </row>
    <row r="97" spans="1:38" ht="13">
      <c r="A97" s="2"/>
      <c r="C97" s="1"/>
      <c r="D97" s="2"/>
      <c r="E97" s="2"/>
      <c r="G97" s="1217"/>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ht="13">
      <c r="A98" s="2"/>
      <c r="D98" s="58"/>
      <c r="E98" s="1221" t="s">
        <v>69</v>
      </c>
      <c r="F98" s="1221"/>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ht="13">
      <c r="A99" s="2"/>
      <c r="D99" s="58"/>
      <c r="E99" s="1221"/>
      <c r="F99" s="1221"/>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ht="13">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ht="13">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ht="13">
      <c r="B102" s="1"/>
      <c r="C102" s="1"/>
      <c r="D102" s="1"/>
      <c r="E102" s="1"/>
      <c r="F102" s="1"/>
      <c r="G102" s="1"/>
      <c r="H102" s="1"/>
      <c r="I102" s="1"/>
      <c r="J102" s="1"/>
      <c r="K102" s="1"/>
    </row>
    <row r="103" spans="1:38" ht="13">
      <c r="B103" s="1"/>
      <c r="C103" s="1" t="s">
        <v>71</v>
      </c>
      <c r="E103" s="1"/>
      <c r="F103" s="1"/>
      <c r="G103" s="1" t="s">
        <v>72</v>
      </c>
      <c r="H103" s="1"/>
      <c r="I103" s="1"/>
      <c r="K103" s="1"/>
    </row>
    <row r="104" spans="1:38" ht="13">
      <c r="B104" s="1"/>
      <c r="C104" s="1"/>
      <c r="D104" s="1" t="s">
        <v>3</v>
      </c>
      <c r="E104" s="1" t="s">
        <v>73</v>
      </c>
      <c r="F104" s="1"/>
      <c r="G104" s="1"/>
      <c r="H104" s="1"/>
      <c r="I104" s="1"/>
      <c r="J104" s="1"/>
      <c r="K104" s="1"/>
      <c r="L104" s="1"/>
      <c r="M104" s="1"/>
    </row>
    <row r="105" spans="1:38" ht="13">
      <c r="B105" s="1"/>
      <c r="C105" s="1"/>
      <c r="E105" s="2" t="s">
        <v>18</v>
      </c>
      <c r="F105" s="57" t="s">
        <v>74</v>
      </c>
      <c r="G105" s="1"/>
      <c r="H105" s="1"/>
      <c r="I105" s="1"/>
      <c r="J105" s="1"/>
      <c r="K105" s="1"/>
    </row>
    <row r="106" spans="1:38">
      <c r="E106" s="2"/>
      <c r="F106" t="s">
        <v>75</v>
      </c>
    </row>
    <row r="107" spans="1:38">
      <c r="E107" s="2"/>
      <c r="F107" t="s">
        <v>76</v>
      </c>
    </row>
    <row r="108" spans="1:38">
      <c r="E108" s="2"/>
    </row>
    <row r="109" spans="1:38" ht="13">
      <c r="E109" s="2" t="s">
        <v>31</v>
      </c>
      <c r="F109" s="57" t="s">
        <v>77</v>
      </c>
      <c r="G109" s="1"/>
      <c r="H109" s="1"/>
      <c r="I109" s="1"/>
      <c r="J109" s="1"/>
    </row>
    <row r="110" spans="1:38">
      <c r="E110" s="2"/>
      <c r="F110" t="s">
        <v>78</v>
      </c>
    </row>
    <row r="111" spans="1:38">
      <c r="E111" s="2"/>
    </row>
    <row r="112" spans="1:38" ht="13">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ht="13">
      <c r="F117" s="2" t="s">
        <v>84</v>
      </c>
      <c r="G117" s="2"/>
    </row>
    <row r="118" spans="2:10" ht="13">
      <c r="F118" s="58" t="s">
        <v>85</v>
      </c>
      <c r="G118" s="58"/>
    </row>
    <row r="119" spans="2:10" ht="13">
      <c r="G119" s="58"/>
    </row>
    <row r="120" spans="2:10">
      <c r="E120" s="2" t="s">
        <v>86</v>
      </c>
      <c r="F120" s="57" t="s">
        <v>87</v>
      </c>
    </row>
    <row r="121" spans="2:10">
      <c r="E121" s="2"/>
      <c r="F121" s="2" t="s">
        <v>88</v>
      </c>
    </row>
    <row r="122" spans="2:10" ht="13">
      <c r="B122" s="1"/>
      <c r="C122" s="1"/>
      <c r="F122" s="1"/>
    </row>
    <row r="123" spans="2:10" ht="13">
      <c r="B123" s="1"/>
      <c r="C123" s="1" t="s">
        <v>89</v>
      </c>
      <c r="G123" s="1" t="s">
        <v>90</v>
      </c>
    </row>
    <row r="124" spans="2:10" ht="13">
      <c r="B124" s="1"/>
      <c r="C124" s="1"/>
      <c r="D124" s="1" t="s">
        <v>3</v>
      </c>
      <c r="E124" s="1" t="s">
        <v>91</v>
      </c>
      <c r="F124" s="1"/>
      <c r="G124" s="1"/>
      <c r="H124" s="1"/>
      <c r="I124" s="1"/>
      <c r="J124" s="1"/>
    </row>
    <row r="125" spans="2:10" ht="13">
      <c r="B125" s="1"/>
      <c r="C125" s="1"/>
      <c r="E125" s="2" t="s">
        <v>92</v>
      </c>
      <c r="F125" s="2"/>
    </row>
    <row r="126" spans="2:10"/>
    <row r="127" spans="2:10" ht="13">
      <c r="D127" s="1" t="s">
        <v>16</v>
      </c>
      <c r="E127" s="1" t="s">
        <v>93</v>
      </c>
    </row>
    <row r="128" spans="2:10">
      <c r="E128" s="2" t="s">
        <v>92</v>
      </c>
      <c r="F128" s="2"/>
    </row>
    <row r="129" spans="4:37"/>
    <row r="130" spans="4:37" ht="13">
      <c r="D130" s="1" t="s">
        <v>94</v>
      </c>
      <c r="E130" s="1" t="s">
        <v>95</v>
      </c>
      <c r="G130" s="1"/>
      <c r="H130" s="1"/>
      <c r="I130" s="1"/>
      <c r="J130" s="1"/>
      <c r="K130" s="1"/>
      <c r="L130" s="1"/>
      <c r="M130" s="1"/>
      <c r="N130" s="1"/>
    </row>
    <row r="131" spans="4:37" ht="13">
      <c r="D131" s="1"/>
      <c r="E131" s="69" t="s">
        <v>96</v>
      </c>
      <c r="G131" s="1"/>
      <c r="H131" s="1"/>
      <c r="I131" s="1"/>
      <c r="J131" s="1"/>
      <c r="K131" s="1"/>
      <c r="L131" s="1"/>
      <c r="M131" s="1"/>
      <c r="N131" s="1"/>
    </row>
    <row r="132" spans="4:37" ht="12.75" customHeight="1">
      <c r="E132" s="69" t="s">
        <v>97</v>
      </c>
      <c r="F132" s="1044"/>
      <c r="G132" s="1044"/>
      <c r="H132" s="1044"/>
      <c r="I132" s="1044"/>
      <c r="J132" s="1044"/>
      <c r="K132" s="1044"/>
      <c r="L132" s="1044"/>
      <c r="M132" s="1044"/>
      <c r="N132" s="1044"/>
      <c r="O132" s="1044"/>
      <c r="P132" s="1044"/>
      <c r="Q132" s="1044"/>
      <c r="R132" s="1044"/>
      <c r="S132" s="1044"/>
      <c r="T132" s="1044"/>
      <c r="U132" s="1044"/>
      <c r="V132" s="1044"/>
      <c r="W132" s="1044"/>
      <c r="X132" s="1044"/>
      <c r="Y132" s="1044"/>
      <c r="Z132" s="1044"/>
      <c r="AA132" s="1044"/>
      <c r="AB132" s="1044"/>
      <c r="AC132" s="1044"/>
      <c r="AD132" s="1044"/>
      <c r="AE132" s="1044"/>
      <c r="AF132" s="1044"/>
      <c r="AG132" s="1044"/>
      <c r="AH132" s="1044"/>
      <c r="AI132" s="1044"/>
      <c r="AJ132" s="1044"/>
      <c r="AK132" s="1044"/>
    </row>
    <row r="133" spans="4:37">
      <c r="E133" s="69" t="s">
        <v>98</v>
      </c>
      <c r="F133" s="1044"/>
      <c r="G133" s="1044"/>
      <c r="H133" s="1044"/>
      <c r="I133" s="1044"/>
      <c r="J133" s="1044"/>
      <c r="K133" s="1044"/>
      <c r="L133" s="1044"/>
      <c r="M133" s="1044"/>
      <c r="N133" s="1044"/>
      <c r="O133" s="1044"/>
      <c r="P133" s="1044"/>
      <c r="Q133" s="1044"/>
      <c r="R133" s="1044"/>
      <c r="S133" s="1044"/>
      <c r="T133" s="1044"/>
      <c r="U133" s="1044"/>
      <c r="V133" s="1044"/>
      <c r="W133" s="1044"/>
      <c r="X133" s="1044"/>
      <c r="Y133" s="1044"/>
      <c r="Z133" s="1044"/>
      <c r="AA133" s="1044"/>
      <c r="AB133" s="1044"/>
      <c r="AC133" s="1044"/>
      <c r="AD133" s="1044"/>
      <c r="AE133" s="1044"/>
      <c r="AF133" s="1044"/>
      <c r="AG133" s="1044"/>
      <c r="AH133" s="1044"/>
      <c r="AI133" s="1044"/>
      <c r="AJ133" s="1044"/>
      <c r="AK133" s="1044"/>
    </row>
    <row r="134" spans="4:37">
      <c r="F134" s="2"/>
    </row>
    <row r="135" spans="4:37" ht="13">
      <c r="D135" s="1" t="s">
        <v>99</v>
      </c>
      <c r="E135" s="1" t="s">
        <v>100</v>
      </c>
      <c r="F135" s="1"/>
    </row>
    <row r="136" spans="4:37">
      <c r="E136" s="2" t="s">
        <v>101</v>
      </c>
      <c r="F136" s="2"/>
    </row>
    <row r="137" spans="4:37">
      <c r="F137" s="2"/>
    </row>
    <row r="138" spans="4:37" ht="13">
      <c r="D138" s="1" t="s">
        <v>102</v>
      </c>
      <c r="E138" s="1" t="s">
        <v>103</v>
      </c>
      <c r="F138" s="1"/>
      <c r="G138" s="1"/>
      <c r="H138" s="1"/>
    </row>
    <row r="139" spans="4:37">
      <c r="E139" t="s">
        <v>18</v>
      </c>
      <c r="F139" t="s">
        <v>104</v>
      </c>
    </row>
    <row r="140" spans="4:37">
      <c r="E140" t="s">
        <v>31</v>
      </c>
      <c r="F140" t="s">
        <v>105</v>
      </c>
    </row>
    <row r="141" spans="4:37"/>
    <row r="142" spans="4:37" ht="13">
      <c r="D142" s="1" t="s">
        <v>106</v>
      </c>
      <c r="E142" s="1" t="s">
        <v>107</v>
      </c>
    </row>
    <row r="143" spans="4:37">
      <c r="E143" s="113" t="s">
        <v>108</v>
      </c>
      <c r="F143" s="113"/>
    </row>
    <row r="144" spans="4:37"/>
    <row r="145" spans="3:7" ht="13">
      <c r="C145" s="1" t="s">
        <v>109</v>
      </c>
      <c r="G145" s="1" t="s">
        <v>110</v>
      </c>
    </row>
    <row r="146" spans="3:7" ht="13">
      <c r="D146" s="1" t="s">
        <v>3</v>
      </c>
      <c r="E146" s="1" t="s">
        <v>111</v>
      </c>
    </row>
    <row r="147" spans="3:7">
      <c r="E147" t="s">
        <v>112</v>
      </c>
    </row>
    <row r="148" spans="3:7"/>
    <row r="149" spans="3:7" ht="13">
      <c r="D149" s="1" t="s">
        <v>16</v>
      </c>
      <c r="E149" s="1" t="s">
        <v>113</v>
      </c>
      <c r="F149" s="1"/>
    </row>
    <row r="150" spans="3:7">
      <c r="E150" s="2" t="s">
        <v>114</v>
      </c>
      <c r="F150" s="2"/>
    </row>
    <row r="151" spans="3:7"/>
    <row r="152" spans="3:7" ht="13">
      <c r="D152" s="1" t="s">
        <v>94</v>
      </c>
      <c r="E152" s="1" t="s">
        <v>115</v>
      </c>
    </row>
    <row r="153" spans="3:7">
      <c r="E153" s="2" t="s">
        <v>116</v>
      </c>
    </row>
    <row r="154" spans="3:7">
      <c r="E154" s="2" t="s">
        <v>117</v>
      </c>
      <c r="G154" s="2"/>
    </row>
    <row r="155" spans="3:7"/>
    <row r="156" spans="3:7" ht="13">
      <c r="D156" s="1" t="s">
        <v>99</v>
      </c>
      <c r="E156" s="1" t="s">
        <v>118</v>
      </c>
    </row>
    <row r="157" spans="3:7">
      <c r="E157" t="s">
        <v>18</v>
      </c>
      <c r="F157" s="2" t="s">
        <v>119</v>
      </c>
    </row>
    <row r="158" spans="3:7">
      <c r="E158" s="2" t="s">
        <v>31</v>
      </c>
      <c r="F158" s="2" t="s">
        <v>120</v>
      </c>
    </row>
    <row r="159" spans="3:7">
      <c r="E159" s="2" t="s">
        <v>39</v>
      </c>
      <c r="F159" t="s">
        <v>121</v>
      </c>
    </row>
    <row r="160" spans="3:7"/>
    <row r="161" spans="3:20" ht="13">
      <c r="D161" s="1" t="s">
        <v>102</v>
      </c>
      <c r="E161" s="1" t="s">
        <v>122</v>
      </c>
    </row>
    <row r="162" spans="3:20">
      <c r="E162" s="2" t="s">
        <v>123</v>
      </c>
      <c r="F162" s="2"/>
    </row>
    <row r="163" spans="3:20"/>
    <row r="164" spans="3:20" ht="13">
      <c r="D164" s="1" t="s">
        <v>106</v>
      </c>
      <c r="E164" s="1" t="s">
        <v>124</v>
      </c>
    </row>
    <row r="165" spans="3:20">
      <c r="E165" s="2" t="s">
        <v>125</v>
      </c>
    </row>
    <row r="166" spans="3:20">
      <c r="E166" s="2" t="s">
        <v>126</v>
      </c>
    </row>
    <row r="167" spans="3:20"/>
    <row r="168" spans="3:20" ht="13">
      <c r="D168" s="1" t="s">
        <v>127</v>
      </c>
      <c r="E168" s="1" t="s">
        <v>128</v>
      </c>
    </row>
    <row r="169" spans="3:20">
      <c r="E169" t="s">
        <v>18</v>
      </c>
      <c r="F169" t="s">
        <v>129</v>
      </c>
    </row>
    <row r="170" spans="3:20">
      <c r="E170" t="s">
        <v>31</v>
      </c>
      <c r="F170" t="s">
        <v>130</v>
      </c>
    </row>
    <row r="171" spans="3:20">
      <c r="F171" s="2"/>
    </row>
    <row r="172" spans="3:20" ht="13">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ht="13">
      <c r="C175" s="1" t="s">
        <v>134</v>
      </c>
      <c r="D175" s="1"/>
      <c r="F175" s="2"/>
      <c r="G175" s="1" t="s">
        <v>93</v>
      </c>
    </row>
    <row r="176" spans="3:20" ht="13">
      <c r="D176" s="1" t="s">
        <v>3</v>
      </c>
      <c r="E176" s="1" t="s">
        <v>135</v>
      </c>
      <c r="G176" s="2"/>
      <c r="H176" s="2"/>
      <c r="I176" s="2"/>
      <c r="J176" s="2"/>
      <c r="K176" s="2"/>
      <c r="L176" s="2"/>
      <c r="M176" s="2"/>
      <c r="N176" s="2"/>
    </row>
    <row r="177" spans="2:19">
      <c r="E177" t="s">
        <v>18</v>
      </c>
      <c r="F177" s="2" t="s">
        <v>136</v>
      </c>
    </row>
    <row r="178" spans="2:19" ht="13">
      <c r="F178" s="70" t="s">
        <v>137</v>
      </c>
      <c r="I178" s="70"/>
    </row>
    <row r="179" spans="2:19" ht="13">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ht="13">
      <c r="D183" s="1" t="s">
        <v>16</v>
      </c>
      <c r="E183" s="1" t="s">
        <v>140</v>
      </c>
    </row>
    <row r="184" spans="2:19">
      <c r="B184" s="2"/>
      <c r="C184" s="2"/>
      <c r="E184" s="2" t="s">
        <v>141</v>
      </c>
      <c r="F184" s="2"/>
      <c r="I184" s="2"/>
    </row>
    <row r="185" spans="2:19" ht="13">
      <c r="B185" s="2"/>
      <c r="C185" s="2"/>
      <c r="E185" s="2" t="s">
        <v>142</v>
      </c>
      <c r="F185" s="70"/>
      <c r="G185" s="2"/>
      <c r="I185" s="70"/>
    </row>
    <row r="186" spans="2:19" ht="13">
      <c r="B186" s="2"/>
      <c r="C186" s="2"/>
      <c r="F186" s="70"/>
      <c r="G186" s="2"/>
      <c r="I186" s="70"/>
    </row>
    <row r="187" spans="2:19" ht="13">
      <c r="B187" s="2"/>
      <c r="C187" s="2"/>
      <c r="D187" s="1" t="s">
        <v>94</v>
      </c>
      <c r="E187" s="1" t="s">
        <v>143</v>
      </c>
      <c r="F187" s="70"/>
      <c r="G187" s="2"/>
      <c r="I187" s="70"/>
    </row>
    <row r="188" spans="2:19" ht="13">
      <c r="B188" s="2"/>
      <c r="C188" s="2"/>
      <c r="D188" s="1"/>
      <c r="E188" s="2" t="s">
        <v>144</v>
      </c>
      <c r="F188" s="2"/>
      <c r="G188" s="2"/>
      <c r="I188" s="70"/>
    </row>
    <row r="189" spans="2:19" ht="13">
      <c r="B189" s="2"/>
      <c r="C189" s="2"/>
      <c r="F189" s="70"/>
      <c r="G189" s="2"/>
      <c r="I189" s="70"/>
    </row>
    <row r="190" spans="2:19" ht="13">
      <c r="D190" s="1" t="s">
        <v>99</v>
      </c>
      <c r="E190" s="1" t="s">
        <v>145</v>
      </c>
    </row>
    <row r="191" spans="2:19" ht="13">
      <c r="B191" s="2"/>
      <c r="C191" s="1"/>
      <c r="E191" t="s">
        <v>18</v>
      </c>
      <c r="F191" s="2" t="s">
        <v>146</v>
      </c>
      <c r="G191" s="2"/>
      <c r="H191" s="2"/>
      <c r="I191" s="2"/>
    </row>
    <row r="192" spans="2:19" ht="13">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ht="13">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ht="13">
      <c r="B199" s="2"/>
      <c r="C199" s="2"/>
      <c r="D199" s="1" t="s">
        <v>106</v>
      </c>
      <c r="E199" s="1" t="s">
        <v>152</v>
      </c>
      <c r="G199" s="2"/>
      <c r="H199" s="2"/>
      <c r="I199" s="2"/>
      <c r="J199" s="2"/>
      <c r="M199" s="2"/>
      <c r="N199" s="2"/>
      <c r="O199" s="2"/>
      <c r="P199" s="2"/>
      <c r="Q199" s="2"/>
      <c r="R199" s="2"/>
      <c r="S199" s="2"/>
    </row>
    <row r="200" spans="2:37" ht="13">
      <c r="B200" s="2"/>
      <c r="C200" s="2"/>
      <c r="D200" s="1"/>
      <c r="E200" s="2" t="s">
        <v>18</v>
      </c>
      <c r="F200" s="2" t="s">
        <v>153</v>
      </c>
      <c r="M200" s="2"/>
      <c r="N200" s="2"/>
      <c r="O200" s="2"/>
      <c r="P200" s="2"/>
      <c r="Q200" s="2"/>
      <c r="R200" s="2"/>
      <c r="S200" s="2"/>
    </row>
    <row r="201" spans="2:37" ht="13">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ht="13">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ht="13">
      <c r="B204" s="2"/>
      <c r="C204" s="2"/>
      <c r="D204" s="1"/>
      <c r="E204" s="2" t="s">
        <v>82</v>
      </c>
      <c r="F204" s="2" t="s">
        <v>157</v>
      </c>
      <c r="M204" s="2"/>
      <c r="N204" s="2"/>
      <c r="O204" s="2"/>
      <c r="P204" s="2"/>
      <c r="Q204" s="2"/>
      <c r="R204" s="2"/>
      <c r="S204" s="2"/>
    </row>
    <row r="205" spans="2:37" ht="13">
      <c r="B205" s="2"/>
      <c r="C205" s="2"/>
      <c r="D205" s="1"/>
      <c r="F205" t="s">
        <v>20</v>
      </c>
      <c r="G205" s="1217" t="s">
        <v>158</v>
      </c>
      <c r="H205" s="1217"/>
      <c r="I205" s="1217"/>
      <c r="J205" s="1217"/>
      <c r="K205" s="1217"/>
      <c r="L205" s="1217"/>
      <c r="M205" s="1217"/>
      <c r="N205" s="1217"/>
      <c r="O205" s="1217"/>
      <c r="P205" s="1217"/>
      <c r="Q205" s="1217"/>
      <c r="R205" s="1217"/>
      <c r="S205" s="1217"/>
      <c r="T205" s="1217"/>
      <c r="U205" s="1217"/>
      <c r="V205" s="1217"/>
      <c r="W205" s="1217"/>
      <c r="X205" s="1217"/>
      <c r="Y205" s="1217"/>
      <c r="Z205" s="1217"/>
      <c r="AA205" s="1217"/>
      <c r="AB205" s="1217"/>
      <c r="AC205" s="1217"/>
      <c r="AD205" s="1217"/>
      <c r="AE205" s="1217"/>
      <c r="AF205" s="1217"/>
      <c r="AG205" s="1217"/>
      <c r="AH205" s="1217"/>
      <c r="AI205" s="1217"/>
      <c r="AJ205" s="1217"/>
      <c r="AK205" s="1217"/>
    </row>
    <row r="206" spans="2:37" ht="13">
      <c r="B206" s="2"/>
      <c r="C206" s="2"/>
      <c r="D206" s="1"/>
      <c r="G206" s="1217"/>
      <c r="H206" s="1217"/>
      <c r="I206" s="1217"/>
      <c r="J206" s="1217"/>
      <c r="K206" s="1217"/>
      <c r="L206" s="1217"/>
      <c r="M206" s="1217"/>
      <c r="N206" s="1217"/>
      <c r="O206" s="1217"/>
      <c r="P206" s="1217"/>
      <c r="Q206" s="1217"/>
      <c r="R206" s="1217"/>
      <c r="S206" s="1217"/>
      <c r="T206" s="1217"/>
      <c r="U206" s="1217"/>
      <c r="V206" s="1217"/>
      <c r="W206" s="1217"/>
      <c r="X206" s="1217"/>
      <c r="Y206" s="1217"/>
      <c r="Z206" s="1217"/>
      <c r="AA206" s="1217"/>
      <c r="AB206" s="1217"/>
      <c r="AC206" s="1217"/>
      <c r="AD206" s="1217"/>
      <c r="AE206" s="1217"/>
      <c r="AF206" s="1217"/>
      <c r="AG206" s="1217"/>
      <c r="AH206" s="1217"/>
      <c r="AI206" s="1217"/>
      <c r="AJ206" s="1217"/>
      <c r="AK206" s="1217"/>
    </row>
    <row r="207" spans="2:37" ht="13">
      <c r="B207" s="2"/>
      <c r="C207" s="2"/>
      <c r="D207" s="1"/>
      <c r="M207" s="2"/>
      <c r="N207" s="2"/>
      <c r="O207" s="2"/>
      <c r="P207" s="2"/>
      <c r="Q207" s="2"/>
      <c r="R207" s="2"/>
      <c r="S207" s="2"/>
    </row>
    <row r="208" spans="2:37" ht="13">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ht="13">
      <c r="B211" s="2"/>
      <c r="C211" s="2"/>
      <c r="D211" s="1" t="s">
        <v>161</v>
      </c>
      <c r="E211" s="1" t="s">
        <v>162</v>
      </c>
      <c r="F211" s="2"/>
      <c r="G211" s="2"/>
      <c r="I211" s="2"/>
      <c r="J211" s="2"/>
      <c r="M211" s="2"/>
      <c r="N211" s="2"/>
      <c r="O211" s="2"/>
      <c r="P211" s="2"/>
      <c r="Q211" s="2"/>
      <c r="R211" s="2"/>
      <c r="S211" s="2"/>
      <c r="T211" s="2"/>
      <c r="U211" s="2"/>
      <c r="V211" s="2"/>
      <c r="W211" s="2"/>
    </row>
    <row r="212" spans="1:38" ht="13">
      <c r="B212" s="2"/>
      <c r="C212" s="2"/>
      <c r="D212" s="1"/>
      <c r="E212" s="2" t="s">
        <v>144</v>
      </c>
      <c r="F212" s="2"/>
      <c r="G212" s="2"/>
      <c r="I212" s="2"/>
      <c r="J212" s="2"/>
      <c r="M212" s="2"/>
      <c r="N212" s="2"/>
      <c r="O212" s="2"/>
      <c r="P212" s="2"/>
      <c r="Q212" s="2"/>
      <c r="R212" s="2"/>
      <c r="S212" s="2"/>
      <c r="T212" s="2"/>
      <c r="U212" s="2"/>
      <c r="V212" s="2"/>
      <c r="W212" s="2"/>
    </row>
    <row r="213" spans="1:38" ht="13">
      <c r="B213" s="2"/>
      <c r="C213" s="2"/>
      <c r="D213" s="1"/>
      <c r="M213" s="2"/>
      <c r="N213" s="2"/>
      <c r="O213" s="2"/>
      <c r="P213" s="2"/>
      <c r="Q213" s="2"/>
      <c r="R213" s="2"/>
      <c r="S213" s="2"/>
    </row>
    <row r="214" spans="1:38" ht="13">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ht="13">
      <c r="A221" s="4"/>
      <c r="B221" s="9" t="s">
        <v>170</v>
      </c>
      <c r="C221" s="9" t="s">
        <v>171</v>
      </c>
      <c r="D221" s="4"/>
      <c r="E221" s="1091"/>
      <c r="F221" s="1091"/>
      <c r="G221" s="1091"/>
      <c r="H221" s="1091"/>
      <c r="I221" s="1091"/>
      <c r="J221" s="1091"/>
      <c r="K221" s="4"/>
      <c r="L221" s="1091"/>
      <c r="M221" s="1091"/>
      <c r="N221" s="1091"/>
      <c r="O221" s="1091"/>
      <c r="P221" s="1091"/>
      <c r="Q221" s="1091"/>
      <c r="R221" s="1091"/>
      <c r="S221" s="1091"/>
      <c r="T221" s="4"/>
      <c r="U221" s="4"/>
      <c r="V221" s="4"/>
      <c r="W221" s="4"/>
      <c r="X221" s="4"/>
      <c r="Y221" s="4"/>
      <c r="Z221" s="4"/>
      <c r="AA221" s="4"/>
      <c r="AB221" s="4"/>
      <c r="AC221" s="4"/>
      <c r="AD221" s="4"/>
      <c r="AE221" s="4"/>
      <c r="AF221" s="4"/>
      <c r="AG221" s="4"/>
      <c r="AH221" s="4"/>
      <c r="AI221" s="4"/>
      <c r="AJ221" s="4"/>
      <c r="AK221" s="4"/>
      <c r="AL221" s="4"/>
    </row>
    <row r="222" spans="1:38" ht="13">
      <c r="B222" s="1"/>
      <c r="D222" s="1"/>
      <c r="E222" s="2"/>
      <c r="F222" s="2"/>
      <c r="G222" s="2"/>
      <c r="H222" s="2"/>
      <c r="I222" s="2"/>
      <c r="J222" s="2"/>
      <c r="L222" s="2"/>
      <c r="M222" s="2"/>
      <c r="N222" s="2"/>
      <c r="O222" s="2"/>
      <c r="P222" s="2"/>
      <c r="Q222" s="2"/>
      <c r="R222" s="2"/>
      <c r="S222" s="2"/>
    </row>
    <row r="223" spans="1:38" ht="13">
      <c r="B223" s="2"/>
      <c r="C223" s="1" t="s">
        <v>71</v>
      </c>
      <c r="D223" s="2"/>
      <c r="E223" s="2"/>
      <c r="F223" s="2"/>
      <c r="G223" s="1" t="s">
        <v>172</v>
      </c>
      <c r="I223" s="2"/>
      <c r="J223" s="2"/>
      <c r="K223" s="2"/>
      <c r="M223" s="2"/>
      <c r="N223" s="2"/>
      <c r="O223" s="2"/>
      <c r="P223" s="2"/>
      <c r="Q223" s="2"/>
      <c r="R223" s="2"/>
      <c r="S223" s="2"/>
    </row>
    <row r="224" spans="1:38" ht="13">
      <c r="B224" s="1"/>
      <c r="E224" s="2" t="s">
        <v>18</v>
      </c>
      <c r="F224" s="2" t="s">
        <v>173</v>
      </c>
      <c r="G224" s="2"/>
      <c r="I224" s="2"/>
      <c r="J224" s="2"/>
      <c r="K224" s="2"/>
      <c r="L224" s="2"/>
      <c r="M224" s="2"/>
      <c r="N224" s="2"/>
      <c r="O224" s="2"/>
      <c r="P224" s="2"/>
      <c r="Q224" s="2"/>
      <c r="R224" s="2"/>
      <c r="S224" s="2"/>
    </row>
    <row r="225" spans="2:19" ht="13">
      <c r="B225" s="1"/>
      <c r="E225" s="2" t="s">
        <v>31</v>
      </c>
      <c r="F225" s="2" t="s">
        <v>174</v>
      </c>
      <c r="G225" s="2"/>
      <c r="I225" s="2"/>
      <c r="J225" s="2"/>
      <c r="K225" s="2"/>
      <c r="L225" s="2"/>
      <c r="M225" s="2"/>
      <c r="N225" s="2"/>
      <c r="O225" s="2"/>
      <c r="P225" s="2"/>
      <c r="Q225" s="2"/>
      <c r="R225" s="2"/>
      <c r="S225" s="2"/>
    </row>
    <row r="226" spans="2:19" ht="13">
      <c r="B226" s="1"/>
      <c r="E226" s="2"/>
      <c r="F226" s="2"/>
      <c r="G226" s="2"/>
      <c r="H226" s="2"/>
      <c r="I226" s="2"/>
      <c r="J226" s="2"/>
      <c r="K226" s="2"/>
      <c r="L226" s="2"/>
      <c r="M226" s="2"/>
      <c r="N226" s="2"/>
      <c r="O226" s="2"/>
      <c r="P226" s="2"/>
      <c r="Q226" s="2"/>
      <c r="R226" s="2"/>
      <c r="S226" s="2"/>
    </row>
    <row r="227" spans="2:19" ht="13">
      <c r="B227" s="1"/>
      <c r="C227" s="1" t="s">
        <v>89</v>
      </c>
      <c r="D227" s="2"/>
      <c r="E227" s="2"/>
      <c r="F227" s="2"/>
      <c r="G227" s="1" t="s">
        <v>175</v>
      </c>
      <c r="I227" s="2"/>
      <c r="J227" s="2"/>
      <c r="K227" s="2"/>
      <c r="L227" s="2"/>
      <c r="M227" s="2"/>
      <c r="N227" s="2"/>
      <c r="O227" s="2"/>
      <c r="P227" s="2"/>
      <c r="Q227" s="2"/>
      <c r="R227" s="2"/>
      <c r="S227" s="2"/>
    </row>
    <row r="228" spans="2:19" ht="13">
      <c r="B228" s="1"/>
      <c r="E228" s="2" t="s">
        <v>18</v>
      </c>
      <c r="F228" s="2" t="s">
        <v>176</v>
      </c>
      <c r="G228" s="2"/>
      <c r="I228" s="2"/>
      <c r="J228" s="2"/>
      <c r="K228" s="2"/>
      <c r="L228" s="2"/>
      <c r="M228" s="2"/>
      <c r="N228" s="2"/>
      <c r="O228" s="2"/>
      <c r="P228" s="2"/>
      <c r="Q228" s="2"/>
      <c r="R228" s="2"/>
      <c r="S228" s="2"/>
    </row>
    <row r="229" spans="2:19" ht="13">
      <c r="B229" s="1"/>
      <c r="E229" s="2"/>
      <c r="F229" s="2" t="s">
        <v>177</v>
      </c>
      <c r="G229" s="2"/>
      <c r="H229" s="2"/>
      <c r="I229" s="2"/>
      <c r="J229" s="2"/>
      <c r="K229" s="2"/>
      <c r="L229" s="2"/>
      <c r="M229" s="2"/>
      <c r="N229" s="2"/>
      <c r="O229" s="2"/>
      <c r="P229" s="2"/>
      <c r="Q229" s="2"/>
      <c r="R229" s="2"/>
      <c r="S229" s="2"/>
    </row>
    <row r="230" spans="2:19" ht="13">
      <c r="B230" s="1"/>
      <c r="D230" s="2"/>
      <c r="E230" s="2" t="s">
        <v>31</v>
      </c>
      <c r="F230" s="2" t="s">
        <v>174</v>
      </c>
      <c r="G230" s="2"/>
      <c r="I230" s="2"/>
      <c r="J230" s="2"/>
      <c r="K230" s="2"/>
      <c r="L230" s="2"/>
      <c r="M230" s="2"/>
      <c r="N230" s="2"/>
      <c r="O230" s="2"/>
      <c r="P230" s="2"/>
      <c r="Q230" s="2"/>
      <c r="R230" s="2"/>
      <c r="S230" s="2"/>
    </row>
    <row r="231" spans="2:19" ht="13">
      <c r="B231" s="1"/>
      <c r="E231" s="2" t="s">
        <v>39</v>
      </c>
      <c r="F231" s="57" t="s">
        <v>178</v>
      </c>
      <c r="G231" s="2"/>
      <c r="I231" s="2"/>
      <c r="J231" s="2"/>
      <c r="K231" s="2"/>
      <c r="L231" s="2"/>
      <c r="M231" s="2"/>
      <c r="N231" s="2"/>
      <c r="O231" s="2"/>
      <c r="P231" s="2"/>
      <c r="Q231" s="2"/>
      <c r="R231" s="2"/>
      <c r="S231" s="2"/>
    </row>
    <row r="232" spans="2:19" ht="13">
      <c r="B232" s="1"/>
      <c r="D232" s="2"/>
      <c r="E232" s="2"/>
      <c r="F232" s="2"/>
      <c r="G232" s="2"/>
      <c r="H232" s="2"/>
      <c r="I232" s="2"/>
      <c r="J232" s="2"/>
      <c r="K232" s="2"/>
      <c r="L232" s="2"/>
      <c r="M232" s="2"/>
      <c r="N232" s="2"/>
      <c r="O232" s="2"/>
      <c r="P232" s="2"/>
      <c r="Q232" s="2"/>
      <c r="R232" s="2"/>
      <c r="S232" s="2"/>
    </row>
    <row r="233" spans="2:19" ht="13">
      <c r="B233" s="2"/>
      <c r="C233" s="1"/>
      <c r="E233" s="1" t="s">
        <v>179</v>
      </c>
      <c r="F233" s="2"/>
      <c r="J233" s="2"/>
      <c r="K233" s="2"/>
      <c r="M233" s="2"/>
      <c r="N233" s="2"/>
      <c r="O233" s="2"/>
      <c r="P233" s="2"/>
      <c r="Q233" s="2"/>
      <c r="R233" s="2"/>
      <c r="S233" s="2"/>
    </row>
    <row r="234" spans="2:19" ht="13">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ht="13">
      <c r="B237" s="2"/>
      <c r="C237" s="2"/>
      <c r="E237" t="s">
        <v>31</v>
      </c>
      <c r="F237" s="818"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8" t="s">
        <v>185</v>
      </c>
      <c r="I240" s="2"/>
      <c r="M240" s="2"/>
      <c r="N240" s="2"/>
      <c r="O240" s="2"/>
      <c r="P240" s="2"/>
      <c r="Q240" s="2"/>
      <c r="R240" s="2"/>
      <c r="S240" s="2"/>
    </row>
    <row r="241" spans="2:21">
      <c r="B241" s="2"/>
      <c r="C241" s="2"/>
      <c r="E241" t="s">
        <v>39</v>
      </c>
      <c r="F241" s="2" t="s">
        <v>20</v>
      </c>
      <c r="G241" s="818" t="s">
        <v>186</v>
      </c>
      <c r="I241" s="2"/>
      <c r="M241" s="2"/>
      <c r="N241" s="2"/>
      <c r="O241" s="2"/>
      <c r="P241" s="2"/>
      <c r="Q241" s="2"/>
      <c r="R241" s="2"/>
      <c r="S241" s="2"/>
    </row>
    <row r="242" spans="2:21">
      <c r="B242" s="2"/>
      <c r="C242" s="2"/>
      <c r="F242" s="2" t="s">
        <v>24</v>
      </c>
      <c r="G242" s="818" t="s">
        <v>187</v>
      </c>
      <c r="I242" s="2"/>
      <c r="M242" s="2"/>
      <c r="N242" s="2"/>
      <c r="O242" s="2"/>
      <c r="P242" s="2"/>
      <c r="Q242" s="2"/>
      <c r="R242" s="2"/>
      <c r="S242" s="2"/>
    </row>
    <row r="243" spans="2:21">
      <c r="B243" s="2"/>
      <c r="C243" s="2"/>
      <c r="F243" s="2" t="s">
        <v>29</v>
      </c>
      <c r="G243" s="818" t="s">
        <v>188</v>
      </c>
      <c r="I243" s="2"/>
      <c r="M243" s="2"/>
      <c r="N243" s="2"/>
      <c r="O243" s="2"/>
      <c r="P243" s="2"/>
      <c r="Q243" s="2"/>
      <c r="R243" s="2"/>
      <c r="S243" s="2"/>
    </row>
    <row r="244" spans="2:21">
      <c r="B244" s="2"/>
      <c r="C244" s="2"/>
      <c r="F244" s="2"/>
      <c r="G244" s="818" t="s">
        <v>189</v>
      </c>
      <c r="I244" s="2"/>
      <c r="M244" s="2"/>
      <c r="N244" s="2"/>
      <c r="O244" s="2"/>
      <c r="P244" s="2"/>
      <c r="Q244" s="2"/>
      <c r="R244" s="2"/>
      <c r="S244" s="2"/>
    </row>
    <row r="245" spans="2:21" ht="13">
      <c r="B245" s="2"/>
      <c r="C245" s="2"/>
      <c r="D245" s="1"/>
      <c r="E245" s="2" t="s">
        <v>39</v>
      </c>
      <c r="F245" s="2" t="s">
        <v>190</v>
      </c>
      <c r="H245" s="2"/>
      <c r="I245" s="2"/>
      <c r="M245" s="2"/>
      <c r="N245" s="2"/>
      <c r="O245" s="2"/>
      <c r="P245" s="2"/>
      <c r="Q245" s="2"/>
      <c r="R245" s="2"/>
      <c r="S245" s="2"/>
    </row>
    <row r="246" spans="2:21" ht="13">
      <c r="B246" s="2"/>
      <c r="C246" s="2"/>
      <c r="D246" s="1"/>
      <c r="E246" s="1"/>
      <c r="F246" t="s">
        <v>20</v>
      </c>
      <c r="G246" s="2" t="s">
        <v>191</v>
      </c>
      <c r="I246" s="2"/>
      <c r="M246" s="2"/>
      <c r="N246" s="2"/>
      <c r="O246" s="2"/>
      <c r="P246" s="2"/>
      <c r="Q246" s="2"/>
      <c r="R246" s="2"/>
      <c r="S246" s="2"/>
    </row>
    <row r="247" spans="2:21" ht="13">
      <c r="B247" s="2"/>
      <c r="C247" s="2"/>
      <c r="D247" s="1"/>
      <c r="E247" s="1"/>
      <c r="F247" s="2"/>
      <c r="G247" s="2" t="s">
        <v>192</v>
      </c>
      <c r="I247" s="2"/>
      <c r="M247" s="2"/>
      <c r="N247" s="2"/>
      <c r="O247" s="2"/>
      <c r="P247" s="2"/>
      <c r="Q247" s="2"/>
      <c r="R247" s="2"/>
      <c r="S247" s="2"/>
    </row>
    <row r="248" spans="2:21" ht="13">
      <c r="B248" s="2"/>
      <c r="C248" s="2"/>
      <c r="D248" s="1"/>
      <c r="E248" s="1"/>
      <c r="F248" s="2"/>
      <c r="G248" s="2"/>
      <c r="I248" s="2"/>
      <c r="M248" s="2"/>
      <c r="N248" s="2"/>
      <c r="O248" s="2"/>
      <c r="P248" s="2"/>
      <c r="Q248" s="2"/>
      <c r="R248" s="2"/>
      <c r="S248" s="2"/>
    </row>
    <row r="249" spans="2:21" ht="13">
      <c r="B249" s="1"/>
      <c r="C249" s="1" t="s">
        <v>109</v>
      </c>
      <c r="E249" s="2"/>
      <c r="F249" s="2"/>
      <c r="G249" s="1" t="s">
        <v>193</v>
      </c>
      <c r="I249" s="2"/>
      <c r="J249" s="2"/>
      <c r="K249" s="2"/>
      <c r="L249" s="2"/>
      <c r="M249" s="2"/>
      <c r="N249" s="2"/>
      <c r="O249" s="2"/>
      <c r="P249" s="2"/>
      <c r="Q249" s="2"/>
      <c r="R249" s="2"/>
      <c r="S249" s="2"/>
    </row>
    <row r="250" spans="2:21" ht="13">
      <c r="B250" s="1"/>
      <c r="C250" s="1"/>
      <c r="E250" s="2" t="s">
        <v>18</v>
      </c>
      <c r="F250" s="2" t="s">
        <v>194</v>
      </c>
      <c r="G250" s="2"/>
      <c r="I250" s="2"/>
      <c r="J250" s="2"/>
      <c r="K250" s="2"/>
      <c r="L250" s="2"/>
      <c r="M250" s="2"/>
      <c r="N250" s="2"/>
      <c r="O250" s="2"/>
      <c r="P250" s="2"/>
      <c r="Q250" s="2"/>
      <c r="R250" s="2"/>
      <c r="S250" s="2"/>
      <c r="T250" s="2"/>
      <c r="U250" s="2"/>
    </row>
    <row r="251" spans="2:21" ht="13">
      <c r="B251" s="1"/>
      <c r="C251" s="1"/>
      <c r="E251" s="2"/>
      <c r="F251" s="70" t="s">
        <v>195</v>
      </c>
      <c r="G251" s="2"/>
      <c r="I251" s="70"/>
      <c r="J251" s="2"/>
      <c r="K251" s="2"/>
      <c r="L251" s="2"/>
      <c r="M251" s="2"/>
      <c r="N251" s="2"/>
      <c r="O251" s="2"/>
      <c r="P251" s="2"/>
      <c r="Q251" s="2"/>
      <c r="R251" s="2"/>
      <c r="S251" s="2"/>
      <c r="T251" s="2"/>
      <c r="U251" s="2"/>
    </row>
    <row r="252" spans="2:21" ht="13">
      <c r="B252" s="1"/>
      <c r="C252" s="1"/>
      <c r="E252" s="2" t="s">
        <v>31</v>
      </c>
      <c r="F252" s="2" t="s">
        <v>196</v>
      </c>
      <c r="I252" s="2"/>
      <c r="J252" s="2"/>
      <c r="K252" s="2"/>
      <c r="L252" s="2"/>
      <c r="M252" s="2"/>
      <c r="N252" s="2"/>
      <c r="O252" s="2"/>
      <c r="P252" s="2"/>
      <c r="Q252" s="2"/>
      <c r="R252" s="2"/>
      <c r="S252" s="2"/>
      <c r="T252" s="2"/>
      <c r="U252" s="2"/>
    </row>
    <row r="253" spans="2:21" ht="13">
      <c r="B253" s="1"/>
      <c r="C253" s="1"/>
      <c r="E253" s="2"/>
      <c r="F253" s="113" t="s">
        <v>20</v>
      </c>
      <c r="G253" s="113" t="s">
        <v>197</v>
      </c>
      <c r="I253" s="2"/>
      <c r="K253" s="2"/>
      <c r="L253" s="2"/>
      <c r="M253" s="2"/>
      <c r="N253" s="2"/>
      <c r="O253" s="2"/>
      <c r="Q253" s="2"/>
      <c r="R253" s="2"/>
      <c r="S253" s="2"/>
      <c r="T253" s="2"/>
      <c r="U253" s="2"/>
    </row>
    <row r="254" spans="2:21" ht="13">
      <c r="B254" s="1"/>
      <c r="C254" s="1"/>
      <c r="E254" s="2"/>
      <c r="F254" s="113"/>
      <c r="G254" s="113" t="s">
        <v>198</v>
      </c>
      <c r="I254" s="2"/>
      <c r="K254" s="2"/>
      <c r="L254" s="2"/>
      <c r="M254" s="2"/>
      <c r="N254" s="2"/>
      <c r="O254" s="2"/>
      <c r="P254" s="2"/>
    </row>
    <row r="255" spans="2:21" ht="13">
      <c r="B255" s="1"/>
      <c r="C255" s="1"/>
      <c r="E255" s="2"/>
      <c r="F255" s="113" t="s">
        <v>24</v>
      </c>
      <c r="G255" s="113" t="s">
        <v>199</v>
      </c>
      <c r="I255" s="2"/>
      <c r="K255" s="2"/>
      <c r="L255" s="2"/>
      <c r="M255" s="2"/>
      <c r="N255" s="2"/>
      <c r="O255" s="2"/>
      <c r="P255" s="2"/>
    </row>
    <row r="256" spans="2:21" ht="13">
      <c r="B256" s="1"/>
      <c r="C256" s="1"/>
      <c r="E256" s="2"/>
      <c r="F256" s="113"/>
      <c r="G256" s="113" t="s">
        <v>200</v>
      </c>
      <c r="I256" s="2"/>
      <c r="K256" s="2"/>
      <c r="L256" s="2"/>
      <c r="M256" s="2"/>
      <c r="N256" s="2"/>
      <c r="O256" s="2"/>
      <c r="P256" s="2"/>
      <c r="Q256" s="2"/>
      <c r="R256" s="2"/>
      <c r="S256" s="2"/>
      <c r="T256" s="2"/>
      <c r="U256" s="2"/>
    </row>
    <row r="257" spans="2:21" ht="13">
      <c r="B257" s="1"/>
      <c r="C257" s="1"/>
      <c r="E257" s="2"/>
      <c r="G257" s="2"/>
      <c r="I257" s="2"/>
      <c r="K257" s="2"/>
      <c r="L257" s="2"/>
      <c r="M257" s="2"/>
      <c r="N257" s="2"/>
      <c r="O257" s="2"/>
      <c r="P257" s="2"/>
      <c r="Q257" s="2"/>
      <c r="R257" s="2"/>
      <c r="S257" s="2"/>
      <c r="T257" s="2"/>
      <c r="U257" s="2"/>
    </row>
    <row r="258" spans="2:21" ht="13">
      <c r="B258" s="1"/>
      <c r="C258" s="1"/>
      <c r="D258" s="1" t="s">
        <v>3</v>
      </c>
      <c r="E258" s="1" t="s">
        <v>201</v>
      </c>
      <c r="G258" s="2"/>
      <c r="H258" s="2"/>
      <c r="I258" s="2"/>
      <c r="J258" s="2"/>
      <c r="K258" s="2"/>
      <c r="L258" s="2"/>
      <c r="M258" s="2"/>
      <c r="N258" s="2"/>
      <c r="O258" s="2"/>
      <c r="P258" s="2"/>
      <c r="Q258" s="2"/>
      <c r="R258" s="2"/>
      <c r="S258" s="2"/>
    </row>
    <row r="259" spans="2:21" ht="13">
      <c r="B259" s="1"/>
      <c r="C259" s="1"/>
      <c r="E259" s="2" t="s">
        <v>18</v>
      </c>
      <c r="F259" s="2" t="s">
        <v>202</v>
      </c>
      <c r="G259" s="2"/>
      <c r="I259" s="2"/>
      <c r="J259" s="2"/>
      <c r="K259" s="2"/>
      <c r="L259" s="2"/>
      <c r="M259" s="2"/>
      <c r="N259" s="2"/>
      <c r="O259" s="2"/>
      <c r="P259" s="2"/>
      <c r="Q259" s="2"/>
      <c r="R259" s="2"/>
      <c r="S259" s="2"/>
    </row>
    <row r="260" spans="2:21" ht="13">
      <c r="B260" s="1"/>
      <c r="C260" s="1"/>
      <c r="E260" s="2" t="s">
        <v>31</v>
      </c>
      <c r="F260" s="2" t="s">
        <v>203</v>
      </c>
      <c r="G260" s="2"/>
      <c r="I260" s="2"/>
      <c r="J260" s="2"/>
      <c r="K260" s="2"/>
      <c r="L260" s="2"/>
      <c r="M260" s="2"/>
      <c r="N260" s="2"/>
      <c r="O260" s="2"/>
      <c r="P260" s="2"/>
      <c r="Q260" s="2"/>
      <c r="R260" s="2"/>
      <c r="S260" s="2"/>
    </row>
    <row r="261" spans="2:21" ht="13">
      <c r="B261" s="1"/>
      <c r="C261" s="1"/>
      <c r="E261" s="2" t="s">
        <v>39</v>
      </c>
      <c r="F261" s="2" t="s">
        <v>204</v>
      </c>
      <c r="I261" s="2"/>
      <c r="J261" s="2"/>
      <c r="K261" s="2"/>
      <c r="L261" s="2"/>
      <c r="M261" s="2"/>
      <c r="N261" s="2"/>
      <c r="O261" s="2"/>
      <c r="P261" s="2"/>
      <c r="Q261" s="2"/>
      <c r="R261" s="2"/>
      <c r="S261" s="2"/>
    </row>
    <row r="262" spans="2:21" ht="13">
      <c r="B262" s="1"/>
      <c r="C262" s="1"/>
      <c r="E262" s="1"/>
      <c r="F262" s="2" t="s">
        <v>205</v>
      </c>
      <c r="I262" s="2"/>
      <c r="J262" s="2"/>
      <c r="K262" s="2"/>
      <c r="L262" s="2"/>
      <c r="M262" s="2"/>
      <c r="N262" s="2"/>
      <c r="O262" s="2"/>
      <c r="P262" s="2"/>
      <c r="Q262" s="2"/>
      <c r="R262" s="2"/>
      <c r="S262" s="2"/>
    </row>
    <row r="263" spans="2:21" ht="13">
      <c r="B263" s="1"/>
      <c r="C263" s="1"/>
      <c r="E263" s="2" t="s">
        <v>82</v>
      </c>
      <c r="F263" s="113" t="s">
        <v>206</v>
      </c>
      <c r="I263" s="2"/>
      <c r="J263" s="2"/>
      <c r="K263" s="2"/>
      <c r="L263" s="2"/>
      <c r="M263" s="2"/>
      <c r="N263" s="2"/>
      <c r="O263" s="2"/>
      <c r="P263" s="2"/>
      <c r="Q263" s="2"/>
      <c r="R263" s="2"/>
      <c r="S263" s="2"/>
    </row>
    <row r="264" spans="2:21" ht="13">
      <c r="B264" s="1"/>
      <c r="C264" s="1"/>
      <c r="E264" s="1"/>
      <c r="F264" s="2"/>
      <c r="H264" s="2"/>
      <c r="I264" s="2"/>
      <c r="J264" s="2"/>
      <c r="K264" s="2"/>
      <c r="L264" s="2"/>
      <c r="M264" s="2"/>
      <c r="N264" s="2"/>
      <c r="O264" s="2"/>
      <c r="P264" s="2"/>
      <c r="Q264" s="2"/>
      <c r="R264" s="2"/>
      <c r="S264" s="2"/>
    </row>
    <row r="265" spans="2:21" ht="13">
      <c r="B265" s="1"/>
      <c r="C265" s="1"/>
      <c r="D265" s="1" t="s">
        <v>16</v>
      </c>
      <c r="E265" s="1" t="s">
        <v>207</v>
      </c>
      <c r="G265" s="2"/>
      <c r="H265" s="2"/>
      <c r="I265" s="2"/>
      <c r="J265" s="2"/>
      <c r="K265" s="2"/>
      <c r="L265" s="2"/>
      <c r="M265" s="2"/>
      <c r="N265" s="2"/>
      <c r="O265" s="2"/>
      <c r="P265" s="2"/>
      <c r="Q265" s="2"/>
      <c r="R265" s="2"/>
      <c r="S265" s="2"/>
    </row>
    <row r="266" spans="2:21" ht="13">
      <c r="B266" s="1"/>
      <c r="C266" s="1"/>
      <c r="E266" s="2" t="s">
        <v>208</v>
      </c>
      <c r="F266" s="2"/>
      <c r="G266" s="2"/>
      <c r="O266" s="2"/>
      <c r="P266" s="2"/>
      <c r="Q266" s="2"/>
      <c r="R266" s="2"/>
      <c r="S266" s="2"/>
    </row>
    <row r="267" spans="2:21" ht="13">
      <c r="B267" s="1"/>
      <c r="C267" s="1"/>
      <c r="E267" s="1"/>
      <c r="G267" s="2"/>
      <c r="H267" s="2"/>
      <c r="O267" s="2"/>
      <c r="P267" s="2"/>
      <c r="Q267" s="2"/>
      <c r="R267" s="2"/>
      <c r="S267" s="2"/>
    </row>
    <row r="268" spans="2:21" ht="13">
      <c r="B268" s="1"/>
      <c r="C268" s="1"/>
      <c r="D268" s="1" t="s">
        <v>94</v>
      </c>
      <c r="E268" s="1" t="s">
        <v>209</v>
      </c>
      <c r="G268" s="2"/>
    </row>
    <row r="269" spans="2:21" ht="13">
      <c r="B269" s="1"/>
      <c r="C269" s="1"/>
      <c r="E269" s="2" t="s">
        <v>210</v>
      </c>
      <c r="F269" s="2"/>
      <c r="G269" s="2"/>
      <c r="J269" s="2"/>
      <c r="K269" s="2"/>
      <c r="L269" s="2"/>
      <c r="M269" s="2"/>
      <c r="N269" s="2"/>
    </row>
    <row r="270" spans="2:21" ht="13">
      <c r="B270" s="1"/>
      <c r="C270" s="1"/>
      <c r="E270" s="2" t="s">
        <v>211</v>
      </c>
      <c r="F270" s="2"/>
      <c r="G270" s="2"/>
      <c r="J270" s="2"/>
      <c r="K270" s="2"/>
      <c r="L270" s="2"/>
      <c r="M270" s="2"/>
      <c r="N270" s="2"/>
    </row>
    <row r="271" spans="2:21" ht="13">
      <c r="B271" s="1"/>
      <c r="C271" s="1"/>
      <c r="E271" s="1"/>
      <c r="G271" s="2"/>
      <c r="H271" s="2"/>
      <c r="J271" s="2"/>
      <c r="K271" s="2"/>
      <c r="L271" s="2"/>
      <c r="M271" s="2"/>
      <c r="N271" s="2"/>
      <c r="O271" s="2"/>
      <c r="P271" s="2"/>
      <c r="Q271" s="2"/>
      <c r="R271" s="2"/>
      <c r="S271" s="2"/>
      <c r="T271" s="2"/>
      <c r="U271" s="2"/>
    </row>
    <row r="272" spans="2:21" ht="13">
      <c r="B272" s="1"/>
      <c r="D272" s="1" t="s">
        <v>99</v>
      </c>
      <c r="E272" s="1" t="s">
        <v>212</v>
      </c>
      <c r="G272" s="2"/>
      <c r="H272" s="2"/>
      <c r="J272" s="2"/>
      <c r="K272" s="2"/>
      <c r="L272" s="2"/>
      <c r="M272" s="2"/>
      <c r="N272" s="2"/>
      <c r="O272" s="2"/>
      <c r="P272" s="2"/>
      <c r="Q272" s="2"/>
      <c r="R272" s="2"/>
      <c r="S272" s="2"/>
      <c r="T272" s="2"/>
      <c r="U272" s="2"/>
    </row>
    <row r="273" spans="2:23" ht="13">
      <c r="B273" s="1"/>
      <c r="D273" s="2"/>
      <c r="E273" s="2" t="s">
        <v>213</v>
      </c>
      <c r="J273" s="2"/>
      <c r="K273" s="2"/>
      <c r="L273" s="2"/>
      <c r="M273" s="2"/>
      <c r="N273" s="2"/>
      <c r="O273" s="2"/>
      <c r="P273" s="2"/>
      <c r="Q273" s="2"/>
      <c r="R273" s="2"/>
      <c r="S273" s="2"/>
      <c r="T273" s="2"/>
      <c r="U273" s="2"/>
    </row>
    <row r="274" spans="2:23" ht="13">
      <c r="B274" s="1"/>
      <c r="D274" s="2"/>
      <c r="E274" s="2" t="s">
        <v>214</v>
      </c>
      <c r="J274" s="2"/>
      <c r="K274" s="2"/>
      <c r="L274" s="2"/>
      <c r="M274" s="2"/>
      <c r="N274" s="2"/>
      <c r="O274" s="2"/>
      <c r="P274" s="2"/>
      <c r="Q274" s="2"/>
      <c r="R274" s="2"/>
      <c r="S274" s="2"/>
      <c r="T274" s="2"/>
      <c r="U274" s="2"/>
    </row>
    <row r="275" spans="2:23" ht="13">
      <c r="B275" s="1"/>
      <c r="D275" s="2"/>
      <c r="E275" s="2"/>
      <c r="J275" s="2"/>
      <c r="K275" s="2"/>
      <c r="L275" s="2"/>
      <c r="M275" s="2"/>
      <c r="N275" s="2"/>
      <c r="O275" s="2"/>
      <c r="P275" s="2"/>
      <c r="Q275" s="2"/>
      <c r="R275" s="2"/>
      <c r="S275" s="2"/>
      <c r="T275" s="2"/>
      <c r="U275" s="2"/>
    </row>
    <row r="276" spans="2:23" ht="13">
      <c r="B276" s="1"/>
      <c r="D276" s="1" t="s">
        <v>102</v>
      </c>
      <c r="E276" s="1" t="s">
        <v>215</v>
      </c>
      <c r="K276" s="2"/>
      <c r="L276" s="2"/>
      <c r="M276" s="2"/>
      <c r="N276" s="2"/>
      <c r="O276" s="2"/>
      <c r="P276" s="2"/>
      <c r="Q276" s="2"/>
      <c r="R276" s="2"/>
      <c r="S276" s="2"/>
      <c r="T276" s="2"/>
      <c r="U276" s="2"/>
    </row>
    <row r="277" spans="2:23" ht="13">
      <c r="B277" s="1"/>
      <c r="D277" s="1"/>
      <c r="E277" t="s">
        <v>216</v>
      </c>
      <c r="K277" s="2"/>
      <c r="L277" s="2"/>
      <c r="M277" s="2"/>
      <c r="N277" s="2"/>
      <c r="O277" s="2"/>
      <c r="P277" s="2"/>
      <c r="Q277" s="2"/>
      <c r="R277" s="2"/>
      <c r="S277" s="2"/>
    </row>
    <row r="278" spans="2:23" ht="13">
      <c r="B278" s="1"/>
      <c r="D278" s="2"/>
      <c r="E278" s="2" t="s">
        <v>217</v>
      </c>
      <c r="I278" s="2"/>
      <c r="J278" s="2"/>
      <c r="K278" s="2"/>
      <c r="L278" s="2"/>
      <c r="M278" s="2"/>
      <c r="N278" s="2"/>
      <c r="O278" s="2"/>
      <c r="P278" s="2"/>
      <c r="Q278" s="2"/>
      <c r="R278" s="2"/>
      <c r="S278" s="2"/>
    </row>
    <row r="279" spans="2:23" ht="13">
      <c r="B279" s="1"/>
      <c r="D279" s="2"/>
      <c r="E279" s="2"/>
      <c r="I279" s="2"/>
      <c r="J279" s="2"/>
      <c r="K279" s="2"/>
      <c r="L279" s="2"/>
      <c r="M279" s="2"/>
      <c r="N279" s="2"/>
      <c r="O279" s="2"/>
      <c r="P279" s="2"/>
      <c r="Q279" s="2"/>
      <c r="R279" s="2"/>
      <c r="S279" s="2"/>
    </row>
    <row r="280" spans="2:23" ht="13">
      <c r="B280" s="1"/>
      <c r="D280" s="1" t="s">
        <v>106</v>
      </c>
      <c r="E280" s="1" t="s">
        <v>218</v>
      </c>
      <c r="G280" s="2"/>
      <c r="H280" s="2"/>
      <c r="I280" s="2"/>
      <c r="J280" s="2"/>
      <c r="K280" s="2"/>
      <c r="L280" s="2"/>
      <c r="M280" s="2"/>
      <c r="O280" s="2"/>
      <c r="P280" s="2"/>
      <c r="Q280" s="2"/>
      <c r="R280" s="2"/>
      <c r="S280" s="2"/>
    </row>
    <row r="281" spans="2:23" ht="13">
      <c r="B281" s="1"/>
      <c r="D281" s="1"/>
      <c r="E281" t="s">
        <v>219</v>
      </c>
      <c r="G281" s="2"/>
      <c r="H281" s="2"/>
      <c r="I281" s="2"/>
      <c r="J281" s="2"/>
      <c r="K281" s="2"/>
      <c r="L281" s="2"/>
      <c r="M281" s="2"/>
      <c r="P281" s="2"/>
      <c r="Q281" s="2"/>
      <c r="R281" s="2"/>
      <c r="S281" s="2"/>
    </row>
    <row r="282" spans="2:23" ht="13">
      <c r="B282" s="1"/>
      <c r="D282" s="1"/>
      <c r="E282" t="s">
        <v>220</v>
      </c>
      <c r="G282" s="2"/>
      <c r="H282" s="2"/>
      <c r="I282" s="2"/>
      <c r="J282" s="2"/>
      <c r="K282" s="2"/>
      <c r="L282" s="2"/>
      <c r="M282" s="2"/>
      <c r="P282" s="2"/>
      <c r="Q282" s="2"/>
      <c r="R282" s="2"/>
      <c r="S282" s="2"/>
    </row>
    <row r="283" spans="2:23" ht="13">
      <c r="B283" s="1"/>
      <c r="D283" s="1"/>
      <c r="E283" s="70" t="s">
        <v>221</v>
      </c>
      <c r="F283" s="70"/>
      <c r="G283" s="2"/>
      <c r="H283" s="70"/>
      <c r="I283" s="70"/>
      <c r="J283" s="2"/>
      <c r="K283" s="2"/>
      <c r="L283" s="2"/>
      <c r="M283" s="2"/>
      <c r="P283" s="2"/>
      <c r="Q283" s="2"/>
      <c r="R283" s="2"/>
      <c r="S283" s="2"/>
    </row>
    <row r="284" spans="2:23" ht="13">
      <c r="B284" s="1"/>
      <c r="D284" s="1"/>
      <c r="E284" s="309" t="s">
        <v>222</v>
      </c>
      <c r="G284" s="2"/>
      <c r="H284" s="70"/>
      <c r="I284" s="70"/>
      <c r="J284" s="2"/>
      <c r="K284" s="2"/>
      <c r="L284" s="2"/>
      <c r="M284" s="2"/>
      <c r="O284" s="2"/>
      <c r="P284" s="2"/>
      <c r="Q284" s="2"/>
      <c r="R284" s="2"/>
      <c r="S284" s="2"/>
    </row>
    <row r="285" spans="2:23" ht="13">
      <c r="B285" s="1"/>
      <c r="D285" s="1"/>
      <c r="E285" s="2"/>
      <c r="F285" s="2"/>
      <c r="G285" s="2"/>
      <c r="H285" s="2"/>
      <c r="I285" s="2"/>
      <c r="J285" s="2"/>
      <c r="K285" s="2"/>
      <c r="L285" s="2"/>
      <c r="M285" s="2"/>
    </row>
    <row r="286" spans="2:23" ht="13">
      <c r="B286" s="1"/>
      <c r="D286" s="1" t="s">
        <v>127</v>
      </c>
      <c r="E286" s="1" t="s">
        <v>223</v>
      </c>
      <c r="K286" s="2"/>
      <c r="L286" s="2"/>
      <c r="M286" s="2"/>
      <c r="N286" s="2"/>
    </row>
    <row r="287" spans="2:23" ht="13">
      <c r="B287" s="1"/>
      <c r="D287" s="2"/>
      <c r="E287" s="2" t="s">
        <v>18</v>
      </c>
      <c r="F287" s="2" t="s">
        <v>224</v>
      </c>
      <c r="G287" s="2"/>
      <c r="O287" s="2"/>
      <c r="P287" s="2"/>
      <c r="Q287" s="2"/>
      <c r="R287" s="2"/>
      <c r="S287" s="2"/>
      <c r="T287" s="2"/>
      <c r="U287" s="2"/>
      <c r="V287" s="2"/>
      <c r="W287" s="2"/>
    </row>
    <row r="288" spans="2:23" ht="13">
      <c r="B288" s="1"/>
      <c r="D288" s="2"/>
      <c r="E288" s="2"/>
      <c r="F288" s="70" t="s">
        <v>225</v>
      </c>
      <c r="G288" s="70"/>
      <c r="H288" s="70"/>
      <c r="I288" s="70"/>
      <c r="J288" s="70"/>
      <c r="K288" s="70"/>
      <c r="L288" s="70"/>
      <c r="M288" s="70"/>
      <c r="N288" s="70"/>
      <c r="O288" s="2"/>
      <c r="P288" s="2"/>
      <c r="Q288" s="2"/>
      <c r="R288" s="2"/>
      <c r="S288" s="2"/>
      <c r="T288" s="2"/>
      <c r="U288" s="2"/>
      <c r="V288" s="2"/>
      <c r="W288" s="2"/>
    </row>
    <row r="289" spans="2:23" ht="13">
      <c r="B289" s="1"/>
      <c r="D289" s="2"/>
      <c r="E289" s="2" t="s">
        <v>31</v>
      </c>
      <c r="F289" s="2" t="s">
        <v>226</v>
      </c>
      <c r="G289" s="2"/>
      <c r="L289" s="2"/>
      <c r="M289" s="2"/>
      <c r="N289" s="2"/>
      <c r="O289" s="2"/>
      <c r="P289" s="2"/>
      <c r="Q289" s="2"/>
      <c r="R289" s="2"/>
      <c r="S289" s="2"/>
      <c r="T289" s="2"/>
      <c r="U289" s="2"/>
      <c r="V289" s="2"/>
      <c r="W289" s="2"/>
    </row>
    <row r="290" spans="2:23" ht="13">
      <c r="B290" s="1"/>
      <c r="D290" s="2"/>
      <c r="E290" s="2" t="s">
        <v>39</v>
      </c>
      <c r="F290" s="2" t="s">
        <v>227</v>
      </c>
      <c r="G290" s="2"/>
      <c r="H290" s="2"/>
      <c r="K290" s="2"/>
      <c r="L290" s="2"/>
      <c r="M290" s="2"/>
      <c r="N290" s="2"/>
      <c r="O290" s="2"/>
      <c r="P290" s="2"/>
      <c r="Q290" s="2"/>
      <c r="R290" s="2"/>
      <c r="S290" s="2"/>
      <c r="T290" s="2"/>
      <c r="U290" s="2"/>
      <c r="V290" s="2"/>
      <c r="W290" s="2"/>
    </row>
    <row r="291" spans="2:23" ht="13">
      <c r="B291" s="1"/>
      <c r="D291" s="2"/>
      <c r="E291" s="2"/>
      <c r="F291" s="2" t="s">
        <v>20</v>
      </c>
      <c r="G291" s="2" t="s">
        <v>228</v>
      </c>
      <c r="K291" s="2"/>
      <c r="L291" s="2"/>
      <c r="M291" s="2"/>
      <c r="N291" s="2"/>
      <c r="O291" s="2"/>
      <c r="P291" s="2"/>
      <c r="Q291" s="2"/>
      <c r="R291" s="2"/>
      <c r="S291" s="2"/>
      <c r="T291" s="2"/>
      <c r="U291" s="2"/>
      <c r="V291" s="2"/>
      <c r="W291" s="2"/>
    </row>
    <row r="292" spans="2:23" ht="13">
      <c r="B292" s="1"/>
      <c r="D292" s="2"/>
      <c r="E292" s="2"/>
      <c r="F292" s="2" t="s">
        <v>24</v>
      </c>
      <c r="G292" s="2" t="s">
        <v>229</v>
      </c>
      <c r="H292" s="2"/>
      <c r="K292" s="2"/>
      <c r="L292" s="2"/>
      <c r="M292" s="2"/>
      <c r="N292" s="2"/>
      <c r="O292" s="2"/>
      <c r="P292" s="2"/>
      <c r="Q292" s="2"/>
      <c r="R292" s="2"/>
      <c r="S292" s="2"/>
      <c r="T292" s="2"/>
      <c r="U292" s="2"/>
      <c r="V292" s="2"/>
      <c r="W292" s="2"/>
    </row>
    <row r="293" spans="2:23" ht="13">
      <c r="B293" s="1"/>
      <c r="D293" s="2"/>
      <c r="E293" s="2"/>
      <c r="F293" s="2" t="s">
        <v>29</v>
      </c>
      <c r="G293" s="2" t="s">
        <v>230</v>
      </c>
      <c r="K293" s="2"/>
      <c r="L293" s="2"/>
      <c r="M293" s="2"/>
      <c r="N293" s="2"/>
      <c r="O293" s="2"/>
      <c r="P293" s="2"/>
      <c r="Q293" s="2"/>
      <c r="R293" s="2"/>
      <c r="S293" s="2"/>
      <c r="T293" s="2"/>
      <c r="U293" s="2"/>
      <c r="V293" s="2"/>
      <c r="W293" s="2"/>
    </row>
    <row r="294" spans="2:23" ht="13">
      <c r="B294" s="1"/>
      <c r="D294" s="2"/>
      <c r="E294" s="2"/>
      <c r="F294" s="2" t="s">
        <v>57</v>
      </c>
      <c r="G294" s="2" t="s">
        <v>231</v>
      </c>
      <c r="H294" s="2"/>
      <c r="K294" s="2"/>
      <c r="L294" s="2"/>
      <c r="M294" s="2"/>
      <c r="N294" s="2"/>
      <c r="O294" s="2"/>
      <c r="P294" s="2"/>
      <c r="Q294" s="2"/>
      <c r="R294" s="2"/>
      <c r="S294" s="2"/>
      <c r="T294" s="2"/>
      <c r="U294" s="2"/>
      <c r="V294" s="2"/>
      <c r="W294" s="2"/>
    </row>
    <row r="295" spans="2:23" ht="13">
      <c r="B295" s="1"/>
      <c r="D295" s="2"/>
      <c r="E295" s="2"/>
      <c r="F295" s="2" t="s">
        <v>60</v>
      </c>
      <c r="G295" s="2" t="s">
        <v>232</v>
      </c>
      <c r="K295" s="2"/>
      <c r="L295" s="2"/>
      <c r="M295" s="2"/>
      <c r="N295" s="2"/>
      <c r="O295" s="2"/>
      <c r="P295" s="2"/>
      <c r="Q295" s="2"/>
      <c r="R295" s="2"/>
      <c r="S295" s="2"/>
      <c r="T295" s="2"/>
      <c r="U295" s="2"/>
      <c r="V295" s="2"/>
      <c r="W295" s="2"/>
    </row>
    <row r="296" spans="2:23" ht="13">
      <c r="B296" s="1"/>
      <c r="D296" s="2"/>
      <c r="E296" s="2"/>
      <c r="F296" s="2" t="s">
        <v>63</v>
      </c>
      <c r="G296" s="2" t="s">
        <v>233</v>
      </c>
      <c r="H296" s="2"/>
      <c r="K296" s="2"/>
      <c r="L296" s="2"/>
      <c r="M296" s="2"/>
      <c r="N296" s="2"/>
      <c r="O296" s="2"/>
      <c r="P296" s="2"/>
      <c r="Q296" s="2"/>
      <c r="R296" s="2"/>
      <c r="S296" s="2"/>
      <c r="T296" s="2"/>
      <c r="U296" s="2"/>
      <c r="V296" s="2"/>
      <c r="W296" s="2"/>
    </row>
    <row r="297" spans="2:23" ht="13">
      <c r="B297" s="1"/>
      <c r="D297" s="2"/>
      <c r="E297" s="2" t="s">
        <v>82</v>
      </c>
      <c r="F297" s="2" t="s">
        <v>234</v>
      </c>
      <c r="G297" s="2"/>
      <c r="K297" s="2"/>
      <c r="L297" s="2"/>
      <c r="M297" s="2"/>
      <c r="N297" s="2"/>
      <c r="O297" s="2"/>
      <c r="P297" s="2"/>
      <c r="Q297" s="2"/>
      <c r="R297" s="2"/>
      <c r="S297" s="2"/>
      <c r="T297" s="2"/>
      <c r="U297" s="2"/>
      <c r="V297" s="2"/>
      <c r="W297" s="2"/>
    </row>
    <row r="298" spans="2:23" ht="13">
      <c r="B298" s="1"/>
      <c r="D298" s="2"/>
      <c r="E298" s="2" t="s">
        <v>86</v>
      </c>
      <c r="F298" s="2" t="s">
        <v>235</v>
      </c>
      <c r="G298" s="2"/>
      <c r="K298" s="2"/>
      <c r="L298" s="2"/>
      <c r="M298" s="2"/>
      <c r="N298" s="2"/>
      <c r="O298" s="2"/>
      <c r="P298" s="2"/>
      <c r="Q298" s="2"/>
      <c r="R298" s="2"/>
      <c r="S298" s="2"/>
      <c r="T298" s="2"/>
      <c r="U298" s="2"/>
      <c r="V298" s="2"/>
      <c r="W298" s="2"/>
    </row>
    <row r="299" spans="2:23" ht="13">
      <c r="B299" s="1"/>
      <c r="D299" s="2"/>
      <c r="E299" s="2"/>
      <c r="F299" s="70" t="s">
        <v>236</v>
      </c>
      <c r="G299" s="70"/>
      <c r="H299" s="70"/>
      <c r="I299" s="70"/>
      <c r="J299" s="70"/>
      <c r="K299" s="70"/>
      <c r="L299" s="70"/>
      <c r="M299" s="2"/>
      <c r="N299" s="2"/>
      <c r="O299" s="2"/>
      <c r="P299" s="2"/>
      <c r="Q299" s="2"/>
      <c r="R299" s="2"/>
      <c r="S299" s="2"/>
      <c r="T299" s="2"/>
      <c r="U299" s="2"/>
      <c r="V299" s="2"/>
      <c r="W299" s="2"/>
    </row>
    <row r="300" spans="2:23" ht="13">
      <c r="B300" s="1"/>
      <c r="D300" s="2"/>
      <c r="E300" s="2"/>
      <c r="F300" s="70" t="s">
        <v>237</v>
      </c>
      <c r="G300" s="70"/>
      <c r="H300" s="70"/>
      <c r="I300" s="70"/>
      <c r="J300" s="70"/>
      <c r="K300" s="70"/>
      <c r="L300" s="70"/>
      <c r="M300" s="2"/>
      <c r="N300" s="2"/>
      <c r="O300" s="2"/>
      <c r="P300" s="2"/>
      <c r="Q300" s="2"/>
      <c r="R300" s="2"/>
      <c r="S300" s="2"/>
      <c r="T300" s="2"/>
      <c r="U300" s="2"/>
      <c r="V300" s="2"/>
      <c r="W300" s="2"/>
    </row>
    <row r="301" spans="2:23" ht="13">
      <c r="B301" s="1"/>
      <c r="D301" s="2"/>
      <c r="E301" s="2"/>
      <c r="F301" s="70" t="s">
        <v>238</v>
      </c>
      <c r="G301" s="70"/>
      <c r="H301" s="70"/>
      <c r="I301" s="70"/>
      <c r="J301" s="70"/>
      <c r="K301" s="70"/>
      <c r="L301" s="70"/>
      <c r="M301" s="2"/>
      <c r="N301" s="2"/>
      <c r="O301" s="2"/>
      <c r="P301" s="2"/>
      <c r="Q301" s="2"/>
      <c r="R301" s="2"/>
      <c r="S301" s="2"/>
      <c r="T301" s="2"/>
      <c r="U301" s="2"/>
      <c r="V301" s="2"/>
      <c r="W301" s="2"/>
    </row>
    <row r="302" spans="2:23" ht="13">
      <c r="B302" s="1"/>
      <c r="D302" s="2"/>
      <c r="E302" s="2"/>
      <c r="F302" s="70"/>
      <c r="G302" s="70"/>
      <c r="H302" s="70"/>
      <c r="I302" s="70"/>
      <c r="J302" s="70"/>
      <c r="K302" s="70"/>
      <c r="L302" s="70"/>
      <c r="M302" s="2"/>
      <c r="N302" s="2"/>
      <c r="O302" s="2"/>
      <c r="P302" s="2"/>
      <c r="Q302" s="2"/>
      <c r="R302" s="2"/>
      <c r="S302" s="2"/>
      <c r="T302" s="2"/>
      <c r="U302" s="2"/>
      <c r="V302" s="2"/>
      <c r="W302" s="2"/>
    </row>
    <row r="303" spans="2:23" ht="13">
      <c r="B303" s="1"/>
      <c r="D303" s="1" t="s">
        <v>161</v>
      </c>
      <c r="E303" s="1" t="s">
        <v>239</v>
      </c>
      <c r="G303" s="2"/>
      <c r="H303" s="2"/>
      <c r="I303" s="2"/>
      <c r="J303" s="2"/>
      <c r="K303" s="2"/>
      <c r="L303" s="2"/>
      <c r="M303" s="2"/>
      <c r="N303" s="2"/>
      <c r="O303" s="2"/>
      <c r="P303" s="2"/>
      <c r="Q303" s="2"/>
      <c r="R303" s="2"/>
      <c r="S303" s="2"/>
      <c r="T303" s="2"/>
      <c r="U303" s="2"/>
      <c r="V303" s="2"/>
      <c r="W303" s="2"/>
    </row>
    <row r="304" spans="2:23" ht="13">
      <c r="B304" s="1"/>
      <c r="D304" s="1"/>
      <c r="E304" s="2" t="s">
        <v>240</v>
      </c>
      <c r="F304" s="2"/>
      <c r="K304" s="2"/>
      <c r="L304" s="2"/>
      <c r="M304" s="2"/>
      <c r="N304" s="2"/>
      <c r="O304" s="2"/>
      <c r="P304" s="2"/>
      <c r="Q304" s="2"/>
      <c r="R304" s="2"/>
      <c r="S304" s="2"/>
      <c r="T304" s="2"/>
      <c r="U304" s="2"/>
      <c r="V304" s="2"/>
      <c r="W304" s="2"/>
    </row>
    <row r="305" spans="2:23" ht="13">
      <c r="B305" s="1"/>
      <c r="D305" s="1"/>
      <c r="E305" s="2" t="s">
        <v>217</v>
      </c>
      <c r="F305" s="2"/>
      <c r="I305" s="2"/>
      <c r="J305" s="2"/>
      <c r="K305" s="2"/>
      <c r="L305" s="2"/>
      <c r="M305" s="2"/>
      <c r="N305" s="2"/>
      <c r="O305" s="2"/>
      <c r="P305" s="2"/>
      <c r="Q305" s="2"/>
      <c r="R305" s="2"/>
      <c r="S305" s="2"/>
      <c r="T305" s="2"/>
      <c r="U305" s="2"/>
      <c r="V305" s="2"/>
      <c r="W305" s="2"/>
    </row>
    <row r="306" spans="2:23" ht="13">
      <c r="B306" s="1"/>
      <c r="D306" s="2"/>
      <c r="E306" s="2"/>
      <c r="F306" s="70"/>
      <c r="G306" s="70"/>
      <c r="H306" s="70"/>
      <c r="I306" s="70"/>
      <c r="J306" s="70"/>
      <c r="K306" s="70"/>
      <c r="L306" s="70"/>
      <c r="M306" s="2"/>
      <c r="N306" s="2"/>
      <c r="O306" s="2"/>
      <c r="P306" s="2"/>
      <c r="Q306" s="2"/>
      <c r="R306" s="2"/>
      <c r="S306" s="2"/>
      <c r="T306" s="2"/>
      <c r="U306" s="2"/>
      <c r="V306" s="2"/>
      <c r="W306" s="2"/>
    </row>
    <row r="307" spans="2:23" ht="13">
      <c r="B307" s="1"/>
      <c r="C307" s="1" t="s">
        <v>131</v>
      </c>
      <c r="D307" s="1"/>
      <c r="F307" s="1"/>
      <c r="G307" s="1" t="s">
        <v>241</v>
      </c>
      <c r="I307" s="2"/>
      <c r="J307" s="2"/>
      <c r="K307" s="2"/>
      <c r="L307" s="2"/>
      <c r="M307" s="2"/>
      <c r="N307" s="2"/>
      <c r="O307" s="2"/>
      <c r="P307" s="2"/>
    </row>
    <row r="308" spans="2:23" ht="13">
      <c r="B308" s="1"/>
      <c r="D308" s="1" t="s">
        <v>3</v>
      </c>
      <c r="E308" s="1" t="s">
        <v>242</v>
      </c>
      <c r="G308" s="1"/>
      <c r="H308" s="1"/>
      <c r="I308" s="1"/>
      <c r="J308" s="1"/>
      <c r="K308" s="1"/>
      <c r="L308" s="1"/>
      <c r="M308" s="1"/>
      <c r="N308" s="1"/>
      <c r="O308" s="1"/>
      <c r="P308" s="1"/>
      <c r="Q308" s="1"/>
      <c r="R308" s="1"/>
    </row>
    <row r="309" spans="2:23" ht="13">
      <c r="B309" s="1"/>
      <c r="D309" s="1"/>
      <c r="E309" t="s">
        <v>243</v>
      </c>
      <c r="G309" s="2"/>
      <c r="I309" s="2"/>
      <c r="K309" s="2"/>
    </row>
    <row r="310" spans="2:23" ht="13">
      <c r="B310" s="1"/>
      <c r="D310" s="1"/>
      <c r="E310" s="2" t="s">
        <v>244</v>
      </c>
      <c r="F310" s="2"/>
      <c r="G310" s="2"/>
      <c r="I310" s="2"/>
      <c r="K310" s="2"/>
    </row>
    <row r="311" spans="2:23" ht="13">
      <c r="B311" s="1"/>
      <c r="D311" s="1"/>
      <c r="E311" s="2" t="s">
        <v>245</v>
      </c>
      <c r="F311" s="2"/>
      <c r="G311" s="2"/>
      <c r="I311" s="2"/>
      <c r="K311" s="2"/>
    </row>
    <row r="312" spans="2:23" ht="13">
      <c r="B312" s="1"/>
      <c r="D312" s="1"/>
      <c r="E312" s="2" t="s">
        <v>246</v>
      </c>
      <c r="F312" s="2"/>
      <c r="G312" s="2"/>
      <c r="I312" s="2"/>
      <c r="K312" s="2"/>
    </row>
    <row r="313" spans="2:23" ht="13">
      <c r="B313" s="1"/>
      <c r="D313" s="1"/>
      <c r="G313" s="2"/>
      <c r="I313" s="2"/>
      <c r="K313" s="2"/>
    </row>
    <row r="314" spans="2:23" ht="13">
      <c r="B314" s="1"/>
      <c r="D314" s="1" t="s">
        <v>16</v>
      </c>
      <c r="E314" s="1" t="s">
        <v>247</v>
      </c>
      <c r="G314" s="2"/>
      <c r="H314" s="2"/>
      <c r="I314" s="2"/>
      <c r="J314" s="2"/>
      <c r="K314" s="2"/>
      <c r="P314" s="2"/>
      <c r="Q314" s="2"/>
      <c r="R314" s="2"/>
      <c r="S314" s="2"/>
    </row>
    <row r="315" spans="2:23" ht="13">
      <c r="B315" s="1"/>
      <c r="D315" s="1"/>
      <c r="E315" t="s">
        <v>248</v>
      </c>
      <c r="G315" s="2"/>
      <c r="I315" s="2"/>
      <c r="J315" s="2"/>
      <c r="K315" s="2"/>
      <c r="L315" s="2"/>
      <c r="M315" s="2"/>
      <c r="N315" s="2"/>
      <c r="O315" s="2"/>
      <c r="P315" s="2"/>
      <c r="Q315" s="2"/>
      <c r="R315" s="2"/>
      <c r="S315" s="2"/>
    </row>
    <row r="316" spans="2:23" ht="13">
      <c r="B316" s="1"/>
      <c r="D316" s="1"/>
      <c r="G316" s="2"/>
      <c r="I316" s="2"/>
      <c r="J316" s="2"/>
      <c r="K316" s="2"/>
      <c r="L316" s="2"/>
      <c r="M316" s="2"/>
      <c r="N316" s="2"/>
      <c r="O316" s="2"/>
      <c r="P316" s="2"/>
      <c r="Q316" s="2"/>
      <c r="R316" s="2"/>
      <c r="S316" s="2"/>
    </row>
    <row r="317" spans="2:23" ht="13">
      <c r="B317" s="1"/>
      <c r="D317" s="1" t="s">
        <v>94</v>
      </c>
      <c r="E317" s="1" t="s">
        <v>249</v>
      </c>
      <c r="F317" s="2"/>
      <c r="G317" s="2"/>
      <c r="H317" s="2"/>
      <c r="I317" s="2"/>
      <c r="J317" s="2"/>
      <c r="K317" s="2"/>
      <c r="L317" s="2"/>
      <c r="M317" s="2"/>
      <c r="N317" s="2"/>
      <c r="O317" s="2"/>
      <c r="P317" s="2"/>
      <c r="Q317" s="2"/>
      <c r="R317" s="2"/>
      <c r="S317" s="2"/>
    </row>
    <row r="318" spans="2:23" ht="13">
      <c r="B318" s="1"/>
      <c r="E318" t="s">
        <v>250</v>
      </c>
      <c r="I318" s="2"/>
      <c r="J318" s="2"/>
      <c r="K318" s="2"/>
      <c r="L318" s="2"/>
      <c r="M318" s="2"/>
      <c r="N318" s="2"/>
      <c r="O318" s="2"/>
      <c r="P318" s="2"/>
      <c r="Q318" s="2"/>
      <c r="R318" s="2"/>
      <c r="S318" s="2"/>
    </row>
    <row r="319" spans="2:23" ht="13">
      <c r="B319" s="1"/>
      <c r="E319" t="s">
        <v>251</v>
      </c>
      <c r="I319" s="2"/>
      <c r="J319" s="2"/>
      <c r="K319" s="2"/>
      <c r="L319" s="2"/>
      <c r="M319" s="2"/>
      <c r="N319" s="2"/>
      <c r="O319" s="2"/>
      <c r="P319" s="2"/>
      <c r="Q319" s="2"/>
      <c r="R319" s="2"/>
      <c r="S319" s="2"/>
    </row>
    <row r="320" spans="2:23" ht="13">
      <c r="B320" s="1"/>
      <c r="E320" t="s">
        <v>252</v>
      </c>
      <c r="I320" s="2"/>
      <c r="J320" s="2"/>
      <c r="K320" s="2"/>
      <c r="L320" s="2"/>
      <c r="M320" s="2"/>
      <c r="N320" s="2"/>
      <c r="O320" s="2"/>
      <c r="P320" s="2"/>
      <c r="Q320" s="2"/>
      <c r="R320" s="2"/>
      <c r="S320" s="2"/>
    </row>
    <row r="321" spans="1:38" ht="13">
      <c r="B321" s="1"/>
      <c r="I321" s="2"/>
      <c r="J321" s="2"/>
      <c r="K321" s="2"/>
      <c r="L321" s="2"/>
      <c r="M321" s="2"/>
      <c r="N321" s="2"/>
      <c r="O321" s="2"/>
      <c r="P321" s="2"/>
      <c r="Q321" s="2"/>
      <c r="R321" s="2"/>
      <c r="S321" s="2"/>
    </row>
    <row r="322" spans="1:38" ht="13">
      <c r="B322" s="1"/>
      <c r="C322" s="1" t="s">
        <v>134</v>
      </c>
      <c r="G322" s="1" t="s">
        <v>253</v>
      </c>
      <c r="I322" s="2"/>
      <c r="J322" s="2"/>
      <c r="K322" s="2"/>
      <c r="L322" s="2"/>
      <c r="M322" s="2"/>
      <c r="N322" s="2"/>
      <c r="O322" s="2"/>
      <c r="P322" s="2"/>
      <c r="Q322" s="2"/>
      <c r="R322" s="2"/>
      <c r="S322" s="2"/>
    </row>
    <row r="323" spans="1:38" ht="13">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ht="13">
      <c r="F326" s="70" t="s">
        <v>257</v>
      </c>
      <c r="I326" s="70"/>
      <c r="J326" s="2"/>
      <c r="K326" s="2"/>
      <c r="L326" s="2"/>
      <c r="M326" s="2"/>
      <c r="N326" s="2"/>
      <c r="O326" s="2"/>
      <c r="P326" s="2"/>
      <c r="Q326" s="2"/>
      <c r="R326" s="2"/>
      <c r="S326" s="2"/>
    </row>
    <row r="327" spans="1:38" ht="13">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ht="13">
      <c r="A329" s="4"/>
      <c r="B329" s="9" t="s">
        <v>259</v>
      </c>
      <c r="C329" s="9" t="s">
        <v>55</v>
      </c>
      <c r="D329" s="4"/>
      <c r="E329" s="9"/>
      <c r="F329" s="9"/>
      <c r="G329" s="9"/>
      <c r="H329" s="9"/>
      <c r="I329" s="9"/>
      <c r="J329" s="1091"/>
      <c r="K329" s="1091"/>
      <c r="L329" s="1091"/>
      <c r="M329" s="1091"/>
      <c r="N329" s="1091"/>
      <c r="O329" s="1091"/>
      <c r="P329" s="1091"/>
      <c r="Q329" s="1091"/>
      <c r="R329" s="1091"/>
      <c r="S329" s="1091"/>
      <c r="T329" s="4"/>
      <c r="U329" s="4"/>
      <c r="V329" s="4"/>
      <c r="W329" s="4"/>
      <c r="X329" s="4"/>
      <c r="Y329" s="4"/>
      <c r="Z329" s="4"/>
      <c r="AA329" s="4"/>
      <c r="AB329" s="4"/>
      <c r="AC329" s="4"/>
      <c r="AD329" s="4"/>
      <c r="AE329" s="4"/>
      <c r="AF329" s="4"/>
      <c r="AG329" s="4"/>
      <c r="AH329" s="4"/>
      <c r="AI329" s="4"/>
      <c r="AJ329" s="4"/>
      <c r="AK329" s="4"/>
      <c r="AL329" s="4"/>
    </row>
    <row r="330" spans="1:38" ht="13">
      <c r="B330" s="1"/>
      <c r="D330" s="1"/>
      <c r="E330" s="1"/>
      <c r="F330" s="1"/>
      <c r="G330" s="1"/>
      <c r="H330" s="1"/>
      <c r="I330" s="1"/>
      <c r="J330" s="2"/>
      <c r="K330" s="2"/>
      <c r="L330" s="2"/>
      <c r="M330" s="2"/>
      <c r="N330" s="2"/>
      <c r="O330" s="2"/>
      <c r="P330" s="2"/>
      <c r="Q330" s="2"/>
      <c r="R330" s="2"/>
      <c r="S330" s="2"/>
    </row>
    <row r="331" spans="1:38" ht="13">
      <c r="B331" s="1"/>
      <c r="C331" s="1" t="s">
        <v>71</v>
      </c>
      <c r="G331" s="1" t="s">
        <v>55</v>
      </c>
      <c r="I331" s="1"/>
      <c r="J331" s="2"/>
      <c r="K331" s="2"/>
      <c r="L331" s="2"/>
      <c r="M331" s="2"/>
      <c r="N331" s="2"/>
      <c r="O331" s="2"/>
      <c r="P331" s="2"/>
      <c r="Q331" s="2"/>
      <c r="R331" s="2"/>
      <c r="S331" s="2"/>
    </row>
    <row r="332" spans="1:38" ht="13">
      <c r="B332" s="1"/>
      <c r="C332" s="1"/>
      <c r="D332" s="1" t="s">
        <v>3</v>
      </c>
      <c r="E332" s="1" t="s">
        <v>55</v>
      </c>
      <c r="G332" s="1"/>
      <c r="I332" s="1"/>
      <c r="J332" s="2"/>
      <c r="K332" s="2"/>
      <c r="L332" s="2"/>
      <c r="M332" s="2"/>
      <c r="N332" s="2"/>
      <c r="O332" s="2"/>
      <c r="P332" s="2"/>
      <c r="Q332" s="2"/>
      <c r="R332" s="2"/>
      <c r="S332" s="2"/>
    </row>
    <row r="333" spans="1:38" ht="13">
      <c r="B333" s="1"/>
      <c r="E333" t="s">
        <v>18</v>
      </c>
      <c r="F333" t="s">
        <v>260</v>
      </c>
      <c r="J333" s="2"/>
      <c r="K333" s="2"/>
      <c r="L333" s="2"/>
      <c r="M333" s="2"/>
      <c r="N333" s="2"/>
      <c r="O333" s="2"/>
      <c r="P333" s="2"/>
      <c r="Q333" s="2"/>
      <c r="R333" s="2"/>
      <c r="S333" s="2"/>
    </row>
    <row r="334" spans="1:38" ht="13">
      <c r="B334" s="1"/>
      <c r="E334" s="2"/>
      <c r="F334" s="2" t="s">
        <v>261</v>
      </c>
      <c r="J334" s="2"/>
      <c r="K334" s="2"/>
      <c r="L334" s="2"/>
      <c r="M334" s="2"/>
      <c r="N334" s="2"/>
      <c r="O334" s="2"/>
      <c r="P334" s="2"/>
      <c r="Q334" s="2"/>
      <c r="R334" s="2"/>
      <c r="S334" s="2"/>
    </row>
    <row r="335" spans="1:38" ht="13">
      <c r="B335" s="1"/>
      <c r="E335" s="2"/>
      <c r="F335" s="2" t="s">
        <v>262</v>
      </c>
      <c r="I335" s="2"/>
      <c r="J335" s="2"/>
      <c r="K335" s="2"/>
      <c r="L335" s="2"/>
      <c r="M335" s="2"/>
      <c r="N335" s="2"/>
      <c r="O335" s="2"/>
      <c r="P335" s="2"/>
      <c r="Q335" s="2"/>
      <c r="R335" s="2"/>
      <c r="S335" s="2"/>
    </row>
    <row r="336" spans="1:38" ht="13">
      <c r="B336" s="1"/>
      <c r="E336" s="2" t="s">
        <v>31</v>
      </c>
      <c r="F336" s="1217" t="s">
        <v>263</v>
      </c>
      <c r="G336" s="1217"/>
      <c r="H336" s="1217"/>
      <c r="I336" s="1217"/>
      <c r="J336" s="1217"/>
      <c r="K336" s="1217"/>
      <c r="L336" s="1217"/>
      <c r="M336" s="1217"/>
      <c r="N336" s="1217"/>
      <c r="O336" s="1217"/>
      <c r="P336" s="1217"/>
      <c r="Q336" s="1217"/>
      <c r="R336" s="1217"/>
      <c r="S336" s="1217"/>
      <c r="T336" s="1217"/>
      <c r="U336" s="1217"/>
      <c r="V336" s="1217"/>
      <c r="W336" s="1217"/>
      <c r="X336" s="1217"/>
      <c r="Y336" s="1217"/>
      <c r="Z336" s="1217"/>
      <c r="AA336" s="1217"/>
      <c r="AB336" s="1217"/>
      <c r="AC336" s="1217"/>
      <c r="AD336" s="1217"/>
      <c r="AE336" s="1217"/>
      <c r="AF336" s="1217"/>
      <c r="AG336" s="1217"/>
      <c r="AH336" s="1217"/>
      <c r="AI336" s="1217"/>
      <c r="AJ336" s="1217"/>
      <c r="AK336" s="1217"/>
    </row>
    <row r="337" spans="2:37" ht="13">
      <c r="B337" s="1"/>
      <c r="E337" s="2"/>
      <c r="F337" s="1217"/>
      <c r="G337" s="1217"/>
      <c r="H337" s="1217"/>
      <c r="I337" s="1217"/>
      <c r="J337" s="1217"/>
      <c r="K337" s="1217"/>
      <c r="L337" s="1217"/>
      <c r="M337" s="1217"/>
      <c r="N337" s="1217"/>
      <c r="O337" s="1217"/>
      <c r="P337" s="1217"/>
      <c r="Q337" s="1217"/>
      <c r="R337" s="1217"/>
      <c r="S337" s="1217"/>
      <c r="T337" s="1217"/>
      <c r="U337" s="1217"/>
      <c r="V337" s="1217"/>
      <c r="W337" s="1217"/>
      <c r="X337" s="1217"/>
      <c r="Y337" s="1217"/>
      <c r="Z337" s="1217"/>
      <c r="AA337" s="1217"/>
      <c r="AB337" s="1217"/>
      <c r="AC337" s="1217"/>
      <c r="AD337" s="1217"/>
      <c r="AE337" s="1217"/>
      <c r="AF337" s="1217"/>
      <c r="AG337" s="1217"/>
      <c r="AH337" s="1217"/>
      <c r="AI337" s="1217"/>
      <c r="AJ337" s="1217"/>
      <c r="AK337" s="1217"/>
    </row>
    <row r="338" spans="2:37" ht="13">
      <c r="B338" s="1"/>
      <c r="E338" s="2"/>
      <c r="F338" s="1217"/>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ht="13">
      <c r="B339" s="1"/>
      <c r="F339" s="2"/>
      <c r="H339" s="2"/>
      <c r="I339" s="2"/>
      <c r="J339" s="2"/>
      <c r="K339" s="2"/>
      <c r="L339" s="2"/>
      <c r="M339" s="2"/>
      <c r="N339" s="2"/>
      <c r="O339" s="2"/>
      <c r="P339" s="2"/>
      <c r="Q339" s="2"/>
      <c r="R339" s="2"/>
      <c r="S339" s="2"/>
    </row>
    <row r="340" spans="2:37" ht="13">
      <c r="B340" s="1"/>
      <c r="C340" s="1" t="s">
        <v>89</v>
      </c>
      <c r="G340" s="1" t="s">
        <v>264</v>
      </c>
      <c r="I340" s="1"/>
      <c r="J340" s="2"/>
      <c r="K340" s="2"/>
      <c r="L340" s="2"/>
      <c r="M340" s="2"/>
      <c r="N340" s="2"/>
      <c r="O340" s="2"/>
      <c r="P340" s="2"/>
      <c r="Q340" s="2"/>
      <c r="R340" s="2"/>
      <c r="S340" s="2"/>
    </row>
    <row r="341" spans="2:37" ht="13.4" customHeight="1">
      <c r="B341" s="1"/>
      <c r="E341" s="1222" t="s">
        <v>265</v>
      </c>
      <c r="F341" s="1222"/>
      <c r="G341" s="1222"/>
      <c r="H341" s="1222"/>
      <c r="I341" s="1222"/>
      <c r="J341" s="1222"/>
      <c r="K341" s="1222"/>
      <c r="L341" s="1222"/>
      <c r="M341" s="1222"/>
      <c r="N341" s="1222"/>
      <c r="O341" s="1222"/>
      <c r="P341" s="1222"/>
      <c r="Q341" s="1222"/>
      <c r="R341" s="1222"/>
      <c r="S341" s="1222"/>
      <c r="T341" s="1222"/>
      <c r="U341" s="1222"/>
      <c r="V341" s="1222"/>
      <c r="W341" s="1222"/>
      <c r="X341" s="1222"/>
      <c r="Y341" s="1222"/>
      <c r="Z341" s="1222"/>
      <c r="AA341" s="1222"/>
      <c r="AB341" s="1222"/>
      <c r="AC341" s="1222"/>
      <c r="AD341" s="1222"/>
      <c r="AE341" s="1222"/>
      <c r="AF341" s="1222"/>
      <c r="AG341" s="1222"/>
      <c r="AH341" s="1222"/>
      <c r="AI341" s="1222"/>
      <c r="AJ341" s="1222"/>
      <c r="AK341" s="1222"/>
    </row>
    <row r="342" spans="2:37" ht="13">
      <c r="B342" s="1"/>
      <c r="E342" s="1222"/>
      <c r="F342" s="1222"/>
      <c r="G342" s="1222"/>
      <c r="H342" s="1222"/>
      <c r="I342" s="1222"/>
      <c r="J342" s="1222"/>
      <c r="K342" s="1222"/>
      <c r="L342" s="1222"/>
      <c r="M342" s="1222"/>
      <c r="N342" s="1222"/>
      <c r="O342" s="1222"/>
      <c r="P342" s="1222"/>
      <c r="Q342" s="1222"/>
      <c r="R342" s="1222"/>
      <c r="S342" s="1222"/>
      <c r="T342" s="1222"/>
      <c r="U342" s="1222"/>
      <c r="V342" s="1222"/>
      <c r="W342" s="1222"/>
      <c r="X342" s="1222"/>
      <c r="Y342" s="1222"/>
      <c r="Z342" s="1222"/>
      <c r="AA342" s="1222"/>
      <c r="AB342" s="1222"/>
      <c r="AC342" s="1222"/>
      <c r="AD342" s="1222"/>
      <c r="AE342" s="1222"/>
      <c r="AF342" s="1222"/>
      <c r="AG342" s="1222"/>
      <c r="AH342" s="1222"/>
      <c r="AI342" s="1222"/>
      <c r="AJ342" s="1222"/>
      <c r="AK342" s="1222"/>
    </row>
    <row r="343" spans="2:37" ht="13">
      <c r="B343" s="1"/>
      <c r="E343" s="1222"/>
      <c r="F343" s="1222"/>
      <c r="G343" s="1222"/>
      <c r="H343" s="1222"/>
      <c r="I343" s="1222"/>
      <c r="J343" s="1222"/>
      <c r="K343" s="1222"/>
      <c r="L343" s="1222"/>
      <c r="M343" s="1222"/>
      <c r="N343" s="1222"/>
      <c r="O343" s="1222"/>
      <c r="P343" s="1222"/>
      <c r="Q343" s="1222"/>
      <c r="R343" s="1222"/>
      <c r="S343" s="1222"/>
      <c r="T343" s="1222"/>
      <c r="U343" s="1222"/>
      <c r="V343" s="1222"/>
      <c r="W343" s="1222"/>
      <c r="X343" s="1222"/>
      <c r="Y343" s="1222"/>
      <c r="Z343" s="1222"/>
      <c r="AA343" s="1222"/>
      <c r="AB343" s="1222"/>
      <c r="AC343" s="1222"/>
      <c r="AD343" s="1222"/>
      <c r="AE343" s="1222"/>
      <c r="AF343" s="1222"/>
      <c r="AG343" s="1222"/>
      <c r="AH343" s="1222"/>
      <c r="AI343" s="1222"/>
      <c r="AJ343" s="1222"/>
      <c r="AK343" s="1222"/>
    </row>
    <row r="344" spans="2:37" ht="13">
      <c r="B344" s="1"/>
      <c r="E344" s="1222"/>
      <c r="F344" s="1222"/>
      <c r="G344" s="1222"/>
      <c r="H344" s="1222"/>
      <c r="I344" s="1222"/>
      <c r="J344" s="1222"/>
      <c r="K344" s="1222"/>
      <c r="L344" s="1222"/>
      <c r="M344" s="1222"/>
      <c r="N344" s="1222"/>
      <c r="O344" s="1222"/>
      <c r="P344" s="1222"/>
      <c r="Q344" s="1222"/>
      <c r="R344" s="1222"/>
      <c r="S344" s="1222"/>
      <c r="T344" s="1222"/>
      <c r="U344" s="1222"/>
      <c r="V344" s="1222"/>
      <c r="W344" s="1222"/>
      <c r="X344" s="1222"/>
      <c r="Y344" s="1222"/>
      <c r="Z344" s="1222"/>
      <c r="AA344" s="1222"/>
      <c r="AB344" s="1222"/>
      <c r="AC344" s="1222"/>
      <c r="AD344" s="1222"/>
      <c r="AE344" s="1222"/>
      <c r="AF344" s="1222"/>
      <c r="AG344" s="1222"/>
      <c r="AH344" s="1222"/>
      <c r="AI344" s="1222"/>
      <c r="AJ344" s="1222"/>
      <c r="AK344" s="1222"/>
    </row>
    <row r="345" spans="2:37" ht="13">
      <c r="B345" s="1"/>
      <c r="E345" s="1222"/>
      <c r="F345" s="1222"/>
      <c r="G345" s="1222"/>
      <c r="H345" s="1222"/>
      <c r="I345" s="1222"/>
      <c r="J345" s="1222"/>
      <c r="K345" s="1222"/>
      <c r="L345" s="1222"/>
      <c r="M345" s="1222"/>
      <c r="N345" s="1222"/>
      <c r="O345" s="1222"/>
      <c r="P345" s="1222"/>
      <c r="Q345" s="1222"/>
      <c r="R345" s="1222"/>
      <c r="S345" s="1222"/>
      <c r="T345" s="1222"/>
      <c r="U345" s="1222"/>
      <c r="V345" s="1222"/>
      <c r="W345" s="1222"/>
      <c r="X345" s="1222"/>
      <c r="Y345" s="1222"/>
      <c r="Z345" s="1222"/>
      <c r="AA345" s="1222"/>
      <c r="AB345" s="1222"/>
      <c r="AC345" s="1222"/>
      <c r="AD345" s="1222"/>
      <c r="AE345" s="1222"/>
      <c r="AF345" s="1222"/>
      <c r="AG345" s="1222"/>
      <c r="AH345" s="1222"/>
      <c r="AI345" s="1222"/>
      <c r="AJ345" s="1222"/>
      <c r="AK345" s="1222"/>
    </row>
    <row r="346" spans="2:37" ht="13">
      <c r="B346" s="1"/>
      <c r="E346" s="2" t="s">
        <v>18</v>
      </c>
      <c r="F346" s="1217" t="s">
        <v>266</v>
      </c>
      <c r="G346" s="1217"/>
      <c r="H346" s="1217"/>
      <c r="I346" s="1217"/>
      <c r="J346" s="1217"/>
      <c r="K346" s="1217"/>
      <c r="L346" s="1217"/>
      <c r="M346" s="1217"/>
      <c r="N346" s="1217"/>
      <c r="O346" s="1217"/>
      <c r="P346" s="1217"/>
      <c r="Q346" s="1217"/>
      <c r="R346" s="1217"/>
      <c r="S346" s="1217"/>
      <c r="T346" s="1217"/>
      <c r="U346" s="1217"/>
      <c r="V346" s="1217"/>
      <c r="W346" s="1217"/>
      <c r="X346" s="1217"/>
      <c r="Y346" s="1217"/>
      <c r="Z346" s="1217"/>
      <c r="AA346" s="1217"/>
      <c r="AB346" s="1217"/>
      <c r="AC346" s="1217"/>
      <c r="AD346" s="1217"/>
      <c r="AE346" s="1217"/>
      <c r="AF346" s="1217"/>
      <c r="AG346" s="1217"/>
      <c r="AH346" s="1217"/>
      <c r="AI346" s="1217"/>
      <c r="AJ346" s="1217"/>
      <c r="AK346" s="1217"/>
    </row>
    <row r="347" spans="2:37" ht="13">
      <c r="B347" s="1"/>
      <c r="E347" s="2"/>
      <c r="F347" s="1217"/>
      <c r="G347" s="1217"/>
      <c r="H347" s="1217"/>
      <c r="I347" s="1217"/>
      <c r="J347" s="1217"/>
      <c r="K347" s="1217"/>
      <c r="L347" s="1217"/>
      <c r="M347" s="1217"/>
      <c r="N347" s="1217"/>
      <c r="O347" s="1217"/>
      <c r="P347" s="1217"/>
      <c r="Q347" s="1217"/>
      <c r="R347" s="1217"/>
      <c r="S347" s="1217"/>
      <c r="T347" s="1217"/>
      <c r="U347" s="1217"/>
      <c r="V347" s="1217"/>
      <c r="W347" s="1217"/>
      <c r="X347" s="1217"/>
      <c r="Y347" s="1217"/>
      <c r="Z347" s="1217"/>
      <c r="AA347" s="1217"/>
      <c r="AB347" s="1217"/>
      <c r="AC347" s="1217"/>
      <c r="AD347" s="1217"/>
      <c r="AE347" s="1217"/>
      <c r="AF347" s="1217"/>
      <c r="AG347" s="1217"/>
      <c r="AH347" s="1217"/>
      <c r="AI347" s="1217"/>
      <c r="AJ347" s="1217"/>
      <c r="AK347" s="1217"/>
    </row>
    <row r="348" spans="2:37" ht="13">
      <c r="B348" s="1"/>
      <c r="E348" s="2"/>
      <c r="F348" s="1217"/>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ht="13">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ht="13">
      <c r="B350" s="1"/>
      <c r="E350" s="2" t="s">
        <v>31</v>
      </c>
      <c r="F350" s="1217" t="s">
        <v>267</v>
      </c>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ht="13">
      <c r="B351" s="1"/>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ht="13">
      <c r="B352" s="1"/>
      <c r="F352" s="1217"/>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ht="13">
      <c r="B353" s="1"/>
      <c r="F353" s="2"/>
      <c r="H353" s="2"/>
      <c r="I353" s="2"/>
      <c r="J353" s="2"/>
      <c r="K353" s="2"/>
      <c r="L353" s="2"/>
      <c r="M353" s="2"/>
      <c r="N353" s="2"/>
      <c r="O353" s="2"/>
      <c r="P353" s="2"/>
      <c r="Q353" s="2"/>
      <c r="R353" s="2"/>
      <c r="S353" s="2"/>
    </row>
    <row r="354" spans="1:38" ht="13">
      <c r="A354" s="4"/>
      <c r="B354" s="9" t="s">
        <v>268</v>
      </c>
      <c r="C354" s="9" t="s">
        <v>58</v>
      </c>
      <c r="D354" s="4"/>
      <c r="E354" s="9"/>
      <c r="F354" s="4"/>
      <c r="G354" s="4"/>
      <c r="H354" s="4"/>
      <c r="I354" s="4"/>
      <c r="J354" s="4"/>
      <c r="K354" s="4"/>
      <c r="L354" s="4"/>
      <c r="M354" s="1091"/>
      <c r="N354" s="1091"/>
      <c r="O354" s="1091"/>
      <c r="P354" s="1091"/>
      <c r="Q354" s="1091"/>
      <c r="R354" s="1091"/>
      <c r="S354" s="1091"/>
      <c r="T354" s="1091"/>
      <c r="U354" s="4"/>
      <c r="V354" s="4"/>
      <c r="W354" s="4"/>
      <c r="X354" s="4"/>
      <c r="Y354" s="4"/>
      <c r="Z354" s="4"/>
      <c r="AA354" s="4"/>
      <c r="AB354" s="4"/>
      <c r="AC354" s="4"/>
      <c r="AD354" s="4"/>
      <c r="AE354" s="4"/>
      <c r="AF354" s="4"/>
      <c r="AG354" s="4"/>
      <c r="AH354" s="4"/>
      <c r="AI354" s="4"/>
      <c r="AJ354" s="4"/>
      <c r="AK354" s="4"/>
      <c r="AL354" s="4"/>
    </row>
    <row r="355" spans="1:38" ht="13">
      <c r="B355" s="1"/>
      <c r="D355" s="363"/>
      <c r="E355" s="1"/>
      <c r="M355" s="2"/>
      <c r="N355" s="2"/>
      <c r="O355" s="2"/>
      <c r="P355" s="2"/>
      <c r="Q355" s="2"/>
      <c r="R355" s="2"/>
      <c r="S355" s="2"/>
      <c r="T355" s="2"/>
    </row>
    <row r="356" spans="1:38" ht="13.4"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4" customHeight="1">
      <c r="B357" s="1"/>
      <c r="C357" s="1"/>
      <c r="E357" s="1033"/>
      <c r="F357" s="1033"/>
      <c r="G357" s="1033"/>
      <c r="H357" s="1033"/>
      <c r="I357" s="1033"/>
      <c r="J357" s="1033"/>
      <c r="K357" s="1033"/>
      <c r="L357" s="1033"/>
      <c r="M357" s="1033"/>
      <c r="N357" s="1033"/>
      <c r="O357" s="1033"/>
      <c r="P357" s="1033"/>
      <c r="Q357" s="1033"/>
      <c r="R357" s="1033"/>
      <c r="S357" s="1033"/>
      <c r="T357" s="1033"/>
      <c r="U357" s="1033"/>
      <c r="V357" s="1033"/>
      <c r="W357" s="1033"/>
      <c r="X357" s="1033"/>
      <c r="Y357" s="1033"/>
      <c r="Z357" s="1033"/>
      <c r="AA357" s="1033"/>
      <c r="AB357" s="1033"/>
      <c r="AC357" s="1033"/>
      <c r="AD357" s="1033"/>
      <c r="AE357" s="1033"/>
      <c r="AF357" s="1033"/>
      <c r="AG357" s="1033"/>
      <c r="AH357" s="1033"/>
      <c r="AI357" s="1033"/>
      <c r="AJ357" s="1033"/>
      <c r="AK357" s="1033"/>
    </row>
    <row r="358" spans="1:38" ht="13">
      <c r="B358" s="1"/>
      <c r="D358" s="1" t="s">
        <v>3</v>
      </c>
      <c r="E358" s="1" t="s">
        <v>270</v>
      </c>
      <c r="I358" s="2"/>
      <c r="J358" s="2"/>
      <c r="K358" s="2"/>
      <c r="L358" s="2"/>
      <c r="M358" s="2"/>
      <c r="N358" s="2"/>
      <c r="O358" s="2"/>
      <c r="P358" s="2"/>
      <c r="Q358" s="2"/>
      <c r="R358" s="2"/>
      <c r="S358" s="2"/>
    </row>
    <row r="359" spans="1:38" ht="13">
      <c r="B359" s="1"/>
      <c r="E359" t="s">
        <v>18</v>
      </c>
      <c r="F359" s="2" t="s">
        <v>271</v>
      </c>
      <c r="I359" s="2"/>
      <c r="J359" s="2"/>
      <c r="K359" s="2"/>
      <c r="L359" s="2"/>
      <c r="M359" s="2"/>
      <c r="N359" s="2"/>
      <c r="O359" s="2"/>
      <c r="P359" s="2"/>
      <c r="Q359" s="2"/>
      <c r="R359" s="2"/>
      <c r="S359" s="2"/>
    </row>
    <row r="360" spans="1:38" ht="13">
      <c r="B360" s="1"/>
      <c r="F360" s="2" t="s">
        <v>272</v>
      </c>
      <c r="I360" s="2"/>
      <c r="J360" s="2"/>
      <c r="K360" s="2"/>
      <c r="L360" s="2"/>
      <c r="M360" s="2"/>
      <c r="N360" s="2"/>
      <c r="O360" s="2"/>
      <c r="P360" s="2"/>
      <c r="Q360" s="2"/>
      <c r="R360" s="2"/>
      <c r="S360" s="2"/>
    </row>
    <row r="361" spans="1:38" ht="13">
      <c r="B361" s="1"/>
      <c r="F361" s="2" t="s">
        <v>273</v>
      </c>
      <c r="G361" s="2"/>
      <c r="K361" s="2"/>
      <c r="L361" s="2"/>
      <c r="M361" s="2"/>
      <c r="N361" s="2"/>
      <c r="O361" s="2"/>
      <c r="P361" s="2"/>
      <c r="Q361" s="2"/>
      <c r="R361" s="2"/>
      <c r="S361" s="2"/>
    </row>
    <row r="362" spans="1:38" ht="13">
      <c r="B362" s="1"/>
      <c r="E362" t="s">
        <v>31</v>
      </c>
      <c r="F362" s="2" t="s">
        <v>274</v>
      </c>
      <c r="I362" s="2"/>
      <c r="J362" s="2"/>
      <c r="K362" s="2"/>
      <c r="L362" s="2"/>
      <c r="M362" s="2"/>
      <c r="N362" s="2"/>
      <c r="O362" s="2"/>
      <c r="P362" s="2"/>
      <c r="Q362" s="2"/>
      <c r="R362" s="2"/>
      <c r="S362" s="2"/>
    </row>
    <row r="363" spans="1:38" ht="13">
      <c r="B363" s="1"/>
      <c r="E363" t="s">
        <v>39</v>
      </c>
      <c r="F363" s="2" t="s">
        <v>275</v>
      </c>
      <c r="I363" s="2"/>
      <c r="J363" s="2"/>
      <c r="K363" s="2"/>
      <c r="L363" s="2"/>
      <c r="M363" s="2"/>
      <c r="N363" s="2"/>
      <c r="O363" s="2"/>
      <c r="P363" s="2"/>
      <c r="Q363" s="2"/>
      <c r="R363" s="2"/>
      <c r="S363" s="2"/>
    </row>
    <row r="364" spans="1:38" ht="13">
      <c r="B364" s="1"/>
      <c r="F364" s="2" t="s">
        <v>276</v>
      </c>
      <c r="J364" s="2"/>
      <c r="K364" s="2"/>
      <c r="L364" s="2"/>
      <c r="M364" s="2"/>
      <c r="N364" s="2"/>
      <c r="O364" s="2"/>
      <c r="P364" s="2"/>
      <c r="Q364" s="2"/>
      <c r="R364" s="2"/>
      <c r="S364" s="2"/>
    </row>
    <row r="365" spans="1:38" ht="13">
      <c r="B365" s="1"/>
      <c r="E365" s="1225" t="s">
        <v>277</v>
      </c>
      <c r="F365" s="1225"/>
      <c r="G365" s="1225"/>
      <c r="H365" s="1225"/>
      <c r="I365" s="1225"/>
      <c r="J365" s="1225"/>
      <c r="K365" s="1225"/>
      <c r="L365" s="1225"/>
      <c r="M365" s="1225"/>
      <c r="N365" s="1225"/>
      <c r="O365" s="1225"/>
      <c r="P365" s="1225"/>
      <c r="Q365" s="1225"/>
      <c r="R365" s="1225"/>
      <c r="S365" s="1225"/>
      <c r="T365" s="1225"/>
      <c r="U365" s="1225"/>
      <c r="V365" s="1225"/>
      <c r="W365" s="1225"/>
      <c r="X365" s="1225"/>
      <c r="Y365" s="1225"/>
      <c r="Z365" s="1225"/>
      <c r="AA365" s="1225"/>
      <c r="AB365" s="1225"/>
      <c r="AC365" s="1225"/>
      <c r="AD365" s="1225"/>
      <c r="AE365" s="1225"/>
      <c r="AF365" s="1225"/>
      <c r="AG365" s="1225"/>
      <c r="AH365" s="1225"/>
      <c r="AI365" s="1225"/>
      <c r="AJ365" s="1225"/>
      <c r="AK365" s="1225"/>
      <c r="AL365" s="1225"/>
    </row>
    <row r="366" spans="1:38" ht="13">
      <c r="B366" s="1"/>
      <c r="E366" s="1225"/>
      <c r="F366" s="1225"/>
      <c r="G366" s="1225"/>
      <c r="H366" s="1225"/>
      <c r="I366" s="1225"/>
      <c r="J366" s="1225"/>
      <c r="K366" s="1225"/>
      <c r="L366" s="1225"/>
      <c r="M366" s="1225"/>
      <c r="N366" s="1225"/>
      <c r="O366" s="1225"/>
      <c r="P366" s="1225"/>
      <c r="Q366" s="1225"/>
      <c r="R366" s="1225"/>
      <c r="S366" s="1225"/>
      <c r="T366" s="1225"/>
      <c r="U366" s="1225"/>
      <c r="V366" s="1225"/>
      <c r="W366" s="1225"/>
      <c r="X366" s="1225"/>
      <c r="Y366" s="1225"/>
      <c r="Z366" s="1225"/>
      <c r="AA366" s="1225"/>
      <c r="AB366" s="1225"/>
      <c r="AC366" s="1225"/>
      <c r="AD366" s="1225"/>
      <c r="AE366" s="1225"/>
      <c r="AF366" s="1225"/>
      <c r="AG366" s="1225"/>
      <c r="AH366" s="1225"/>
      <c r="AI366" s="1225"/>
      <c r="AJ366" s="1225"/>
      <c r="AK366" s="1225"/>
      <c r="AL366" s="1225"/>
    </row>
    <row r="367" spans="1:38" s="1226" customFormat="1" ht="13">
      <c r="A367"/>
      <c r="B367" s="1"/>
      <c r="C367"/>
      <c r="D367"/>
      <c r="E367" s="1223" t="s">
        <v>278</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s="1226" customFormat="1" ht="13">
      <c r="A368"/>
      <c r="B368" s="1"/>
      <c r="C368" s="1"/>
      <c r="D368"/>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8" ht="13">
      <c r="B369" s="1"/>
      <c r="E369" s="2"/>
      <c r="F369" s="1044"/>
      <c r="G369" s="1044"/>
      <c r="H369" s="1044"/>
      <c r="I369" s="1044"/>
      <c r="J369" s="1044"/>
      <c r="K369" s="1044"/>
      <c r="L369" s="1044"/>
      <c r="M369" s="1044"/>
      <c r="N369" s="1044"/>
      <c r="O369" s="1044"/>
      <c r="P369" s="1044"/>
      <c r="Q369" s="1044"/>
      <c r="R369" s="1044"/>
      <c r="S369" s="1044"/>
      <c r="T369" s="1044"/>
      <c r="U369" s="1044"/>
      <c r="V369" s="1044"/>
      <c r="W369" s="1044"/>
      <c r="X369" s="1044"/>
      <c r="Y369" s="1044"/>
      <c r="Z369" s="1044"/>
      <c r="AA369" s="1044"/>
      <c r="AB369" s="1044"/>
      <c r="AC369" s="1044"/>
      <c r="AD369" s="1044"/>
      <c r="AE369" s="1044"/>
      <c r="AF369" s="1044"/>
      <c r="AG369" s="1044"/>
      <c r="AH369" s="1044"/>
      <c r="AI369" s="1044"/>
      <c r="AJ369" s="1044"/>
      <c r="AK369" s="1044"/>
    </row>
    <row r="370" spans="1:38" ht="13">
      <c r="B370" s="1"/>
      <c r="D370" s="1" t="s">
        <v>16</v>
      </c>
      <c r="E370" s="1" t="s">
        <v>279</v>
      </c>
      <c r="J370" s="2"/>
      <c r="K370" s="2"/>
      <c r="L370" s="2"/>
      <c r="M370" s="2"/>
      <c r="N370" s="2"/>
      <c r="O370" s="2"/>
      <c r="P370" s="2"/>
      <c r="Q370" s="2"/>
      <c r="R370" s="2"/>
      <c r="S370" s="2"/>
    </row>
    <row r="371" spans="1:38" ht="13">
      <c r="B371" s="1"/>
      <c r="E371" s="2" t="s">
        <v>280</v>
      </c>
      <c r="F371" s="2"/>
      <c r="G371" s="2"/>
      <c r="H371" s="2"/>
      <c r="I371" s="2"/>
      <c r="J371" s="2"/>
      <c r="K371" s="2"/>
      <c r="L371" s="2"/>
      <c r="M371" s="2"/>
      <c r="N371" s="2"/>
      <c r="O371" s="2"/>
      <c r="P371" s="2"/>
      <c r="Q371" s="2"/>
      <c r="R371" s="2"/>
      <c r="S371" s="2"/>
    </row>
    <row r="372" spans="1:38" ht="13">
      <c r="B372" s="1"/>
      <c r="E372" s="2" t="s">
        <v>281</v>
      </c>
      <c r="F372" s="2"/>
      <c r="G372" s="2"/>
      <c r="H372" s="2"/>
      <c r="I372" s="2"/>
      <c r="J372" s="2"/>
      <c r="K372" s="2"/>
      <c r="L372" s="2"/>
      <c r="M372" s="2"/>
      <c r="N372" s="2"/>
      <c r="O372" s="2"/>
      <c r="P372" s="2"/>
      <c r="Q372" s="2"/>
      <c r="R372" s="2"/>
      <c r="S372" s="2"/>
    </row>
    <row r="373" spans="1:38" ht="13">
      <c r="B373" s="1"/>
      <c r="E373" s="2"/>
      <c r="F373" s="2"/>
      <c r="G373" s="2"/>
      <c r="H373" s="2"/>
      <c r="I373" s="2"/>
      <c r="J373" s="2"/>
      <c r="K373" s="2"/>
      <c r="L373" s="2"/>
      <c r="M373" s="2"/>
      <c r="N373" s="2"/>
      <c r="O373" s="2"/>
      <c r="P373" s="2"/>
      <c r="Q373" s="2"/>
      <c r="R373" s="2"/>
      <c r="S373" s="2"/>
    </row>
    <row r="374" spans="1:38" ht="13">
      <c r="B374" s="1"/>
      <c r="D374" s="1" t="s">
        <v>94</v>
      </c>
      <c r="E374" s="1" t="s">
        <v>282</v>
      </c>
      <c r="J374" s="2"/>
      <c r="K374" s="2"/>
      <c r="L374" s="2"/>
      <c r="M374" s="2"/>
      <c r="N374" s="2"/>
      <c r="O374" s="2"/>
      <c r="P374" s="2"/>
      <c r="Q374" s="2"/>
      <c r="R374" s="2"/>
      <c r="S374" s="2"/>
    </row>
    <row r="375" spans="1:38" ht="13">
      <c r="B375" s="1"/>
      <c r="E375" s="2" t="s">
        <v>18</v>
      </c>
      <c r="F375" s="2" t="s">
        <v>283</v>
      </c>
      <c r="G375" s="2"/>
      <c r="I375" s="2"/>
      <c r="J375" s="2"/>
      <c r="K375" s="2"/>
      <c r="L375" s="2"/>
      <c r="M375" s="2"/>
      <c r="N375" s="2"/>
      <c r="O375" s="2"/>
      <c r="P375" s="2"/>
      <c r="Q375" s="2"/>
      <c r="R375" s="2"/>
      <c r="S375" s="2"/>
    </row>
    <row r="376" spans="1:38" ht="13">
      <c r="B376" s="1"/>
      <c r="E376" s="2"/>
      <c r="F376" s="70" t="s">
        <v>284</v>
      </c>
      <c r="G376" s="2"/>
      <c r="I376" s="70"/>
      <c r="J376" s="2"/>
      <c r="K376" s="2"/>
      <c r="L376" s="2"/>
      <c r="M376" s="2"/>
      <c r="N376" s="2"/>
      <c r="O376" s="2"/>
      <c r="P376" s="2"/>
      <c r="Q376" s="2"/>
      <c r="R376" s="2"/>
      <c r="S376" s="2"/>
    </row>
    <row r="377" spans="1:38" ht="13">
      <c r="B377" s="1"/>
      <c r="E377" s="2" t="s">
        <v>31</v>
      </c>
      <c r="F377" s="2" t="s">
        <v>285</v>
      </c>
      <c r="G377" s="2"/>
      <c r="I377" s="70"/>
      <c r="J377" s="2"/>
      <c r="K377" s="2"/>
      <c r="L377" s="2"/>
      <c r="M377" s="2"/>
      <c r="N377" s="2"/>
      <c r="O377" s="2"/>
      <c r="P377" s="2"/>
      <c r="Q377" s="2"/>
      <c r="R377" s="2"/>
      <c r="S377" s="2"/>
    </row>
    <row r="378" spans="1:38" ht="13">
      <c r="B378" s="1"/>
      <c r="E378" s="2"/>
      <c r="F378" s="2"/>
      <c r="G378" s="2"/>
      <c r="I378" s="70"/>
      <c r="J378" s="2"/>
      <c r="K378" s="2"/>
      <c r="L378" s="2"/>
      <c r="M378" s="2"/>
      <c r="N378" s="2"/>
      <c r="O378" s="2"/>
      <c r="P378" s="2"/>
      <c r="Q378" s="2"/>
      <c r="R378" s="2"/>
      <c r="S378" s="2"/>
    </row>
    <row r="379" spans="1:38" ht="13">
      <c r="B379" s="1"/>
      <c r="D379" s="1" t="s">
        <v>99</v>
      </c>
      <c r="E379" s="1" t="s">
        <v>286</v>
      </c>
      <c r="J379" s="2"/>
      <c r="K379" s="2"/>
      <c r="L379" s="2"/>
      <c r="M379" s="2"/>
      <c r="N379" s="2"/>
      <c r="O379" s="2"/>
      <c r="P379" s="2"/>
      <c r="Q379" s="2"/>
      <c r="R379" s="2"/>
      <c r="S379" s="2"/>
    </row>
    <row r="380" spans="1:38" ht="13">
      <c r="B380" s="1"/>
      <c r="D380" s="1"/>
      <c r="E380" s="2" t="s">
        <v>280</v>
      </c>
      <c r="F380" s="2"/>
      <c r="G380" s="2"/>
      <c r="J380" s="2"/>
      <c r="K380" s="2"/>
      <c r="L380" s="2"/>
      <c r="M380" s="2"/>
      <c r="N380" s="2"/>
      <c r="O380" s="2"/>
      <c r="P380" s="2"/>
      <c r="Q380" s="2"/>
      <c r="R380" s="2"/>
      <c r="S380" s="2"/>
    </row>
    <row r="381" spans="1:38" ht="13">
      <c r="B381" s="1"/>
      <c r="D381" s="1"/>
      <c r="E381" s="2" t="s">
        <v>287</v>
      </c>
      <c r="F381" s="2"/>
      <c r="G381" s="2"/>
      <c r="J381" s="2"/>
      <c r="K381" s="2"/>
      <c r="L381" s="2"/>
      <c r="M381" s="2"/>
      <c r="N381" s="2"/>
      <c r="O381" s="2"/>
      <c r="P381" s="2"/>
      <c r="Q381" s="2"/>
      <c r="R381" s="2"/>
      <c r="S381" s="2"/>
    </row>
    <row r="382" spans="1:38" ht="13">
      <c r="B382" s="1"/>
      <c r="D382" s="1"/>
      <c r="E382" s="2"/>
      <c r="F382" s="2"/>
      <c r="G382" s="2"/>
      <c r="J382" s="2"/>
      <c r="K382" s="2"/>
      <c r="L382" s="2"/>
      <c r="M382" s="2"/>
      <c r="N382" s="2"/>
      <c r="O382" s="2"/>
      <c r="P382" s="2"/>
      <c r="Q382" s="2"/>
      <c r="R382" s="2"/>
      <c r="S382" s="2"/>
    </row>
    <row r="383" spans="1:38" s="97" customFormat="1" ht="13">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ht="13">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ht="13">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ht="13">
      <c r="B386" s="1"/>
      <c r="E386" s="2" t="s">
        <v>31</v>
      </c>
      <c r="F386" s="1217" t="s">
        <v>290</v>
      </c>
      <c r="G386" s="1217"/>
      <c r="H386" s="1217"/>
      <c r="I386" s="1217"/>
      <c r="J386" s="1217"/>
      <c r="K386" s="1217"/>
      <c r="L386" s="1217"/>
      <c r="M386" s="1217"/>
      <c r="N386" s="1217"/>
      <c r="O386" s="1217"/>
      <c r="P386" s="1217"/>
      <c r="Q386" s="1217"/>
      <c r="R386" s="1217"/>
      <c r="S386" s="1217"/>
      <c r="T386" s="1217"/>
      <c r="U386" s="1217"/>
      <c r="V386" s="1217"/>
      <c r="W386" s="1217"/>
      <c r="X386" s="1217"/>
      <c r="Y386" s="1217"/>
      <c r="Z386" s="1217"/>
      <c r="AA386" s="1217"/>
      <c r="AB386" s="1217"/>
      <c r="AC386" s="1217"/>
      <c r="AD386" s="1217"/>
      <c r="AE386" s="1217"/>
      <c r="AF386" s="1217"/>
      <c r="AG386" s="1217"/>
      <c r="AH386" s="1217"/>
      <c r="AI386" s="1217"/>
      <c r="AJ386" s="1217"/>
      <c r="AK386" s="1217"/>
    </row>
    <row r="387" spans="1:38" ht="13">
      <c r="B387" s="1"/>
      <c r="E387" s="2"/>
      <c r="F387" s="1217"/>
      <c r="G387" s="1217"/>
      <c r="H387" s="1217"/>
      <c r="I387" s="1217"/>
      <c r="J387" s="1217"/>
      <c r="K387" s="1217"/>
      <c r="L387" s="1217"/>
      <c r="M387" s="1217"/>
      <c r="N387" s="1217"/>
      <c r="O387" s="1217"/>
      <c r="P387" s="1217"/>
      <c r="Q387" s="1217"/>
      <c r="R387" s="1217"/>
      <c r="S387" s="1217"/>
      <c r="T387" s="1217"/>
      <c r="U387" s="1217"/>
      <c r="V387" s="1217"/>
      <c r="W387" s="1217"/>
      <c r="X387" s="1217"/>
      <c r="Y387" s="1217"/>
      <c r="Z387" s="1217"/>
      <c r="AA387" s="1217"/>
      <c r="AB387" s="1217"/>
      <c r="AC387" s="1217"/>
      <c r="AD387" s="1217"/>
      <c r="AE387" s="1217"/>
      <c r="AF387" s="1217"/>
      <c r="AG387" s="1217"/>
      <c r="AH387" s="1217"/>
      <c r="AI387" s="1217"/>
      <c r="AJ387" s="1217"/>
      <c r="AK387" s="1217"/>
    </row>
    <row r="388" spans="1:38" ht="13">
      <c r="B388" s="1"/>
      <c r="E388" s="2"/>
      <c r="F388" s="1217"/>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ht="13">
      <c r="B389" s="1"/>
      <c r="E389" s="2"/>
      <c r="F389" s="1031"/>
      <c r="G389" s="1031"/>
      <c r="H389" s="1031"/>
      <c r="I389" s="1031"/>
      <c r="J389" s="1031"/>
      <c r="K389" s="1031"/>
      <c r="L389" s="1031"/>
      <c r="M389" s="1031"/>
      <c r="N389" s="1031"/>
      <c r="O389" s="1031"/>
      <c r="P389" s="1031"/>
      <c r="Q389" s="1031"/>
      <c r="R389" s="1031"/>
      <c r="S389" s="1031"/>
      <c r="T389" s="1031"/>
      <c r="U389" s="1031"/>
      <c r="V389" s="1031"/>
      <c r="W389" s="1031"/>
      <c r="X389" s="1031"/>
      <c r="Y389" s="1031"/>
      <c r="Z389" s="1031"/>
      <c r="AA389" s="1031"/>
      <c r="AB389" s="1031"/>
      <c r="AC389" s="1031"/>
      <c r="AD389" s="1031"/>
      <c r="AE389" s="1031"/>
      <c r="AF389" s="1031"/>
      <c r="AG389" s="1031"/>
      <c r="AH389" s="1031"/>
      <c r="AI389" s="1031"/>
      <c r="AJ389" s="1031"/>
      <c r="AK389" s="1031"/>
      <c r="AL389" s="1033"/>
    </row>
    <row r="390" spans="1:38" ht="13">
      <c r="B390" s="1"/>
      <c r="C390" s="1"/>
      <c r="D390" s="1" t="s">
        <v>106</v>
      </c>
      <c r="E390" s="1" t="s">
        <v>291</v>
      </c>
      <c r="F390" s="2"/>
      <c r="G390" s="1"/>
      <c r="I390" s="70"/>
      <c r="J390" s="2"/>
      <c r="K390" s="2"/>
      <c r="L390" s="2"/>
      <c r="M390" s="2"/>
      <c r="N390" s="2"/>
      <c r="O390" s="2"/>
      <c r="P390" s="2"/>
      <c r="Q390" s="2"/>
      <c r="R390" s="2"/>
      <c r="S390" s="2"/>
    </row>
    <row r="391" spans="1:38" ht="13.4" customHeight="1">
      <c r="B391" s="1"/>
      <c r="D391" s="1"/>
      <c r="E391" s="2" t="s">
        <v>292</v>
      </c>
      <c r="F391" s="1044"/>
      <c r="G391" s="1044"/>
      <c r="H391" s="1044"/>
      <c r="I391" s="1044"/>
      <c r="J391" s="1044"/>
      <c r="K391" s="1044"/>
      <c r="L391" s="1044"/>
      <c r="M391" s="1044"/>
      <c r="N391" s="1044"/>
      <c r="O391" s="1044"/>
      <c r="P391" s="1044"/>
      <c r="Q391" s="1044"/>
      <c r="R391" s="1044"/>
      <c r="S391" s="1044"/>
      <c r="T391" s="1044"/>
      <c r="U391" s="1044"/>
      <c r="V391" s="1044"/>
      <c r="W391" s="1044"/>
      <c r="X391" s="1044"/>
      <c r="Y391" s="1044"/>
      <c r="Z391" s="1044"/>
      <c r="AA391" s="1044"/>
      <c r="AB391" s="1044"/>
      <c r="AC391" s="1044"/>
      <c r="AD391" s="1044"/>
      <c r="AE391" s="1044"/>
      <c r="AF391" s="1044"/>
      <c r="AG391" s="1044"/>
      <c r="AH391" s="1044"/>
      <c r="AI391" s="1044"/>
      <c r="AJ391" s="1044"/>
      <c r="AK391" s="1044"/>
    </row>
    <row r="392" spans="1:38" ht="13">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7" customFormat="1" ht="13">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t="13"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t="13" hidden="1">
      <c r="B395" s="1"/>
      <c r="S395" s="2"/>
    </row>
    <row r="396" spans="1:38" ht="13" hidden="1">
      <c r="B396" s="1"/>
      <c r="S396" s="2"/>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D406" s="1"/>
      <c r="E406" s="2"/>
      <c r="F406" s="2"/>
      <c r="G406" s="2"/>
      <c r="H406" s="2"/>
      <c r="I406" s="2"/>
      <c r="J406" s="2"/>
      <c r="K406" s="2"/>
      <c r="L406" s="2"/>
      <c r="M406" s="2"/>
      <c r="N406" s="2"/>
      <c r="O406" s="2"/>
      <c r="P406" s="2"/>
      <c r="Q406" s="2"/>
      <c r="R406" s="2"/>
      <c r="S406" s="2"/>
    </row>
    <row r="407" spans="2:19" ht="13"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t="13" hidden="1">
      <c r="B419" s="1"/>
      <c r="D419" s="1"/>
      <c r="E419" s="2"/>
      <c r="F419" s="2"/>
      <c r="G419" s="2"/>
      <c r="H419" s="2"/>
      <c r="I419" s="2"/>
      <c r="J419" s="2"/>
      <c r="K419" s="2"/>
      <c r="L419" s="2"/>
      <c r="M419" s="2"/>
      <c r="N419" s="2"/>
      <c r="O419" s="2"/>
      <c r="P419" s="2"/>
      <c r="Q419" s="2"/>
      <c r="R419" s="2"/>
      <c r="S419" s="2"/>
    </row>
    <row r="420" spans="2:19" ht="13" hidden="1">
      <c r="B420" s="1"/>
      <c r="C420" s="1"/>
      <c r="D420" s="1"/>
      <c r="E420" s="2"/>
      <c r="F420" s="2"/>
      <c r="G420" s="2"/>
      <c r="H420" s="2"/>
      <c r="I420" s="2"/>
      <c r="J420" s="2"/>
      <c r="K420" s="2"/>
      <c r="L420" s="2"/>
      <c r="M420" s="2"/>
      <c r="N420" s="2"/>
      <c r="O420" s="2"/>
      <c r="P420" s="2"/>
      <c r="Q420" s="2"/>
      <c r="R420" s="2"/>
      <c r="S420" s="2"/>
    </row>
    <row r="421" spans="2:19" ht="13"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9" workbookViewId="0">
      <selection activeCell="O28" sqref="O28"/>
    </sheetView>
  </sheetViews>
  <sheetFormatPr defaultColWidth="9.1796875" defaultRowHeight="14"/>
  <cols>
    <col min="1" max="1" width="2.453125" style="825" customWidth="1"/>
    <col min="2" max="9" width="14.7265625" style="825" customWidth="1"/>
    <col min="10" max="10" width="2.26953125" style="825" customWidth="1"/>
    <col min="11" max="11" width="11.81640625" style="826" customWidth="1"/>
    <col min="12" max="12" width="10.7265625" style="825" customWidth="1"/>
    <col min="13" max="13" width="10.453125" style="825" customWidth="1"/>
    <col min="14" max="14" width="10.81640625" style="825" customWidth="1"/>
    <col min="15" max="18" width="9.1796875" style="825"/>
    <col min="19" max="19" width="9.453125" style="825" bestFit="1" customWidth="1"/>
    <col min="20" max="16384" width="9.1796875" style="825"/>
  </cols>
  <sheetData>
    <row r="1" spans="1:13" ht="30" customHeight="1">
      <c r="A1" s="2600" t="s">
        <v>2594</v>
      </c>
      <c r="B1" s="2600"/>
      <c r="C1" s="2600"/>
      <c r="D1" s="2600"/>
      <c r="E1" s="2600"/>
      <c r="F1" s="2600"/>
      <c r="G1" s="2600"/>
      <c r="H1" s="2600"/>
      <c r="I1" s="2600"/>
      <c r="J1" s="2600"/>
    </row>
    <row r="2" spans="1:13" ht="15" customHeight="1" thickBot="1">
      <c r="A2" s="827"/>
      <c r="B2" s="827"/>
      <c r="I2" s="828"/>
      <c r="K2" s="829"/>
    </row>
    <row r="3" spans="1:13" s="832" customFormat="1" ht="20.149999999999999" customHeight="1">
      <c r="A3" s="881"/>
      <c r="B3" s="882"/>
      <c r="C3" s="883"/>
      <c r="D3" s="888"/>
      <c r="E3" s="883"/>
      <c r="F3" s="884" t="s">
        <v>2595</v>
      </c>
      <c r="G3" s="883"/>
      <c r="H3" s="885">
        <f>E18</f>
        <v>13377110</v>
      </c>
      <c r="I3" s="886"/>
    </row>
    <row r="4" spans="1:13" s="832" customFormat="1" ht="20.149999999999999" customHeight="1">
      <c r="B4" s="875"/>
      <c r="D4" s="889"/>
      <c r="F4" s="873" t="s">
        <v>2596</v>
      </c>
      <c r="G4" s="872" t="s">
        <v>2597</v>
      </c>
      <c r="H4" s="874">
        <f>I18</f>
        <v>17545303.62246732</v>
      </c>
      <c r="I4" s="876"/>
      <c r="K4" s="836"/>
    </row>
    <row r="5" spans="1:13" s="832" customFormat="1" ht="20.149999999999999" customHeight="1" thickBot="1">
      <c r="B5" s="877"/>
      <c r="C5" s="878"/>
      <c r="D5" s="890"/>
      <c r="E5" s="879"/>
      <c r="F5" s="890" t="s">
        <v>2598</v>
      </c>
      <c r="G5" s="891"/>
      <c r="H5" s="887">
        <f>IFERROR(H3/H4,0)</f>
        <v>0.76243251686281366</v>
      </c>
      <c r="I5" s="880"/>
      <c r="K5" s="836"/>
    </row>
    <row r="6" spans="1:13" s="832" customFormat="1" ht="15" customHeight="1">
      <c r="B6" s="833"/>
      <c r="C6" s="834"/>
      <c r="F6" s="835"/>
      <c r="K6" s="836"/>
    </row>
    <row r="7" spans="1:13" s="832" customFormat="1" ht="15" customHeight="1">
      <c r="E7" s="837"/>
      <c r="F7" s="835"/>
      <c r="K7" s="838"/>
    </row>
    <row r="8" spans="1:13" s="832" customFormat="1" ht="15" customHeight="1">
      <c r="A8" s="839"/>
      <c r="B8" s="2603" t="s">
        <v>2599</v>
      </c>
      <c r="C8" s="2604"/>
      <c r="D8" s="2604"/>
      <c r="E8" s="2605"/>
      <c r="G8" s="2580" t="s">
        <v>2600</v>
      </c>
      <c r="H8" s="2581"/>
      <c r="I8" s="2582"/>
      <c r="K8" s="838"/>
    </row>
    <row r="9" spans="1:13" ht="15" customHeight="1">
      <c r="A9" s="827"/>
      <c r="B9" s="2601" t="s">
        <v>2601</v>
      </c>
      <c r="C9" s="2601"/>
      <c r="D9" s="2601"/>
      <c r="E9" s="840">
        <f>G33</f>
        <v>4137500</v>
      </c>
      <c r="G9" s="2593" t="s">
        <v>2602</v>
      </c>
      <c r="H9" s="2593"/>
      <c r="I9" s="841">
        <f>Application!AM554</f>
        <v>19904951</v>
      </c>
      <c r="K9" s="842"/>
      <c r="M9" s="843"/>
    </row>
    <row r="10" spans="1:13" ht="15" customHeight="1" thickBot="1">
      <c r="A10" s="827"/>
      <c r="B10" s="2601" t="s">
        <v>2603</v>
      </c>
      <c r="C10" s="2601"/>
      <c r="D10" s="2601"/>
      <c r="E10" s="841">
        <f>G47</f>
        <v>3802860</v>
      </c>
      <c r="G10" s="2607" t="s">
        <v>2604</v>
      </c>
      <c r="H10" s="2607"/>
      <c r="I10" s="920">
        <f>'Basis &amp; Credits'!AB78</f>
        <v>0</v>
      </c>
      <c r="M10" s="843"/>
    </row>
    <row r="11" spans="1:13" ht="15" customHeight="1">
      <c r="A11" s="827"/>
      <c r="B11" s="2594" t="s">
        <v>2605</v>
      </c>
      <c r="C11" s="2595"/>
      <c r="D11" s="2596"/>
      <c r="E11" s="841">
        <f>SUM(E12,E13)</f>
        <v>720000</v>
      </c>
      <c r="G11" s="2592" t="s">
        <v>2606</v>
      </c>
      <c r="H11" s="2592"/>
      <c r="I11" s="919">
        <f>I9+I10</f>
        <v>19904951</v>
      </c>
      <c r="M11" s="843"/>
    </row>
    <row r="12" spans="1:13" ht="15" customHeight="1">
      <c r="A12" s="844"/>
      <c r="B12" s="2602" t="s">
        <v>2607</v>
      </c>
      <c r="C12" s="2602"/>
      <c r="D12" s="2602"/>
      <c r="E12" s="944">
        <f>G56</f>
        <v>240000</v>
      </c>
      <c r="M12" s="843"/>
    </row>
    <row r="13" spans="1:13" ht="15" customHeight="1">
      <c r="A13" s="830"/>
      <c r="B13" s="2602" t="s">
        <v>2608</v>
      </c>
      <c r="C13" s="2602"/>
      <c r="D13" s="2602"/>
      <c r="E13" s="944">
        <f>G65</f>
        <v>480000</v>
      </c>
      <c r="G13" s="2580" t="s">
        <v>2609</v>
      </c>
      <c r="H13" s="2581"/>
      <c r="I13" s="2582"/>
      <c r="M13" s="843"/>
    </row>
    <row r="14" spans="1:13" ht="15" customHeight="1">
      <c r="A14" s="830"/>
      <c r="B14" s="2594" t="s">
        <v>2610</v>
      </c>
      <c r="C14" s="2595"/>
      <c r="D14" s="2596"/>
      <c r="E14" s="946">
        <f>MAX(E15,E16)+E17</f>
        <v>4716750</v>
      </c>
      <c r="G14" s="2593" t="s">
        <v>1793</v>
      </c>
      <c r="H14" s="2593"/>
      <c r="I14" s="845">
        <f>15%*(AND(G120="Yes",G122&lt;&gt;""))</f>
        <v>0.15</v>
      </c>
      <c r="M14" s="843"/>
    </row>
    <row r="15" spans="1:13" ht="15" customHeight="1">
      <c r="A15" s="830"/>
      <c r="B15" s="2577" t="s">
        <v>2611</v>
      </c>
      <c r="C15" s="2578"/>
      <c r="D15" s="2579"/>
      <c r="E15" s="944">
        <f>G80</f>
        <v>0</v>
      </c>
      <c r="G15" s="1145" t="s">
        <v>1916</v>
      </c>
      <c r="H15" s="1145"/>
      <c r="I15" s="845">
        <f>IF(Application!AJ1032&gt;0,10%,IF(Application!AJ1036&gt;0,5%,0))</f>
        <v>0</v>
      </c>
      <c r="M15" s="843"/>
    </row>
    <row r="16" spans="1:13" ht="15" customHeight="1">
      <c r="A16" s="830"/>
      <c r="B16" s="2577" t="s">
        <v>2612</v>
      </c>
      <c r="C16" s="2578"/>
      <c r="D16" s="2579"/>
      <c r="E16" s="944">
        <f>G90</f>
        <v>0</v>
      </c>
      <c r="G16" s="2593" t="s">
        <v>2613</v>
      </c>
      <c r="H16" s="2593"/>
      <c r="I16" s="845">
        <f>G132</f>
        <v>-3.1454248366013071E-2</v>
      </c>
    </row>
    <row r="17" spans="1:21" ht="15" customHeight="1" thickBot="1">
      <c r="A17" s="830"/>
      <c r="B17" s="2577" t="s">
        <v>2614</v>
      </c>
      <c r="C17" s="2578"/>
      <c r="D17" s="2579"/>
      <c r="E17" s="944">
        <f>G115</f>
        <v>4716750</v>
      </c>
      <c r="G17" s="2593" t="s">
        <v>2615</v>
      </c>
      <c r="H17" s="2593"/>
      <c r="I17" s="845">
        <f>IF(AND(G139="Yes",OR(G136,G137)),IF(G143&gt;15%,15%,G143),0)</f>
        <v>0</v>
      </c>
    </row>
    <row r="18" spans="1:21" ht="15" customHeight="1">
      <c r="A18" s="827"/>
      <c r="B18" s="2606" t="s">
        <v>2616</v>
      </c>
      <c r="C18" s="2606"/>
      <c r="D18" s="2606"/>
      <c r="E18" s="892">
        <f>SUM(E9:E11,E14)</f>
        <v>13377110</v>
      </c>
      <c r="G18" s="918" t="s">
        <v>2617</v>
      </c>
      <c r="H18" s="918"/>
      <c r="I18" s="893">
        <f>I11-((I11*I14)+(I11*I15)+(I11*I16)+(I11*I17))</f>
        <v>17545303.62246732</v>
      </c>
      <c r="M18" s="846">
        <f>SUM(Cdlac[Quantity])</f>
        <v>79</v>
      </c>
      <c r="O18" s="866" t="s">
        <v>933</v>
      </c>
      <c r="P18" s="825">
        <f>MATCH(Application!T189,Application!CB160:CB217,0)</f>
        <v>54</v>
      </c>
      <c r="T18" s="846">
        <f>SUM(Cdlac[Population])</f>
        <v>24</v>
      </c>
    </row>
    <row r="19" spans="1:21" ht="15" customHeight="1">
      <c r="A19" s="827"/>
      <c r="B19" s="827"/>
      <c r="C19" s="827"/>
      <c r="D19" s="827"/>
      <c r="E19" s="827"/>
      <c r="L19" s="825" t="s">
        <v>2618</v>
      </c>
      <c r="M19" s="825" t="s">
        <v>2619</v>
      </c>
      <c r="N19" s="825" t="s">
        <v>2620</v>
      </c>
      <c r="O19" s="825" t="s">
        <v>2621</v>
      </c>
      <c r="P19" s="825" t="s">
        <v>2622</v>
      </c>
      <c r="Q19" s="825" t="s">
        <v>2623</v>
      </c>
      <c r="R19" s="825" t="s">
        <v>2624</v>
      </c>
      <c r="S19" s="825" t="s">
        <v>2625</v>
      </c>
      <c r="T19" s="825" t="s">
        <v>2626</v>
      </c>
      <c r="U19" s="825" t="s">
        <v>997</v>
      </c>
    </row>
    <row r="20" spans="1:21" ht="15" customHeight="1">
      <c r="B20" s="847" t="str">
        <f>B9</f>
        <v>A. Unit Production Benefit</v>
      </c>
      <c r="C20" s="848"/>
      <c r="D20" s="848"/>
      <c r="E20" s="848"/>
      <c r="F20" s="848"/>
      <c r="G20" s="848"/>
      <c r="H20" s="848"/>
      <c r="I20" s="849"/>
      <c r="L20" s="825">
        <f>IFERROR(MIN(4,MATCH(Application!B718,UnitSizes,0)-1),"")</f>
        <v>1</v>
      </c>
      <c r="M20" s="846">
        <f>Application!G718</f>
        <v>21</v>
      </c>
      <c r="N20" s="852">
        <f>Application!AC718</f>
        <v>0.3</v>
      </c>
      <c r="O20" s="852">
        <f>IF(Cdlac[[#This Row],[Quantity]]&gt;0,IF(Cdlac[[#This Row],[Federal]],30%,IF(AND(OR(NOT($G$38),$G$38=""),$G$43),40%,Cdlac[[#This Row],[iAMI]])),"")</f>
        <v>0.3</v>
      </c>
      <c r="P20" s="846" cm="1">
        <f t="array" ref="P20">IF(Cdlac[[#This Row],[Quantity]]&gt;0,INDEX(TcacRents,$P$18,Cdlac[[#This Row],[Bedrooms]]+1)*Cdlac[[#This Row],[AMI]],"")</f>
        <v>495</v>
      </c>
      <c r="Q20" s="943"/>
      <c r="R20" s="846" cm="1">
        <f t="array" ref="R20">IF(Cdlac[[#This Row],[Quantity]]&gt;0,INDEX(HudFmrs,$P$18,Cdlac[[#This Row],[Bedrooms]]+1),"")</f>
        <v>989</v>
      </c>
      <c r="S20" s="846">
        <f>IF(Cdlac[[#This Row],[Quantity]]&gt;0,MAX(0,Cdlac[[#This Row],[Fair Market Rent]]-IF(AND($G$37,$G$38,$G$38&lt;&gt;"",NOT(Cdlac[[#This Row],[Federal]]),Cdlac[[#This Row],[Preservation Rent]]&lt;&gt;""),Cdlac[[#This Row],[Preservation Rent]],Cdlac[[#This Row],[Restricted Rent]])),"")</f>
        <v>494</v>
      </c>
      <c r="T20" s="825">
        <f>IF(Cdlac[[#This Row],[Quantity]]&gt;0,AND(Application!AK718&lt;&gt;"N/A",Application!AK718&lt;&gt;"")*Cdlac[[#This Row],[Quantity]],"")</f>
        <v>21</v>
      </c>
      <c r="U20" s="825" t="b">
        <f>AND('Subsidy Contract Calculation'!F4&gt;0,OR('Subsidy Contract Calculation'!C4="Federal",'Subsidy Contract Calculation'!C4="Local - Approved by ED"),Cdlac[[#This Row],[Quantity]]&gt;0)</f>
        <v>0</v>
      </c>
    </row>
    <row r="21" spans="1:21" ht="15" customHeight="1">
      <c r="A21" s="827"/>
      <c r="B21" s="827"/>
      <c r="I21" s="850"/>
      <c r="L21" s="825">
        <f>IFERROR(MIN(4,MATCH(Application!B719,UnitSizes,0)-1),"")</f>
        <v>2</v>
      </c>
      <c r="M21" s="846">
        <f>Application!G719</f>
        <v>3</v>
      </c>
      <c r="N21" s="852">
        <f>Application!AC719</f>
        <v>0.3</v>
      </c>
      <c r="O21" s="852">
        <f>IF(Cdlac[[#This Row],[Quantity]]&gt;0,IF(Cdlac[[#This Row],[Federal]],30%,IF(AND(OR(NOT($G$38),$G$38=""),$G$43),40%,Cdlac[[#This Row],[iAMI]])),"")</f>
        <v>0.3</v>
      </c>
      <c r="P21" s="846" cm="1">
        <f t="array" ref="P21">IF(Cdlac[[#This Row],[Quantity]]&gt;0,INDEX(TcacRents,$P$18,Cdlac[[#This Row],[Bedrooms]]+1)*Cdlac[[#This Row],[AMI]],"")</f>
        <v>594</v>
      </c>
      <c r="Q21" s="943"/>
      <c r="R21" s="846" cm="1">
        <f t="array" ref="R21">IF(Cdlac[[#This Row],[Quantity]]&gt;0,INDEX(HudFmrs,$P$18,Cdlac[[#This Row],[Bedrooms]]+1),"")</f>
        <v>1299</v>
      </c>
      <c r="S21" s="846">
        <f>IF(Cdlac[[#This Row],[Quantity]]&gt;0,MAX(0,Cdlac[[#This Row],[Fair Market Rent]]-IF(AND($G$37,$G$38,$G$38&lt;&gt;"",NOT(Cdlac[[#This Row],[Federal]]),Cdlac[[#This Row],[Preservation Rent]]&lt;&gt;""),Cdlac[[#This Row],[Preservation Rent]],Cdlac[[#This Row],[Restricted Rent]])),"")</f>
        <v>705</v>
      </c>
      <c r="T21" s="825">
        <f>IF(Cdlac[[#This Row],[Quantity]]&gt;0,AND(Application!AK719&lt;&gt;"N/A",Application!AK719&lt;&gt;"")*Cdlac[[#This Row],[Quantity]],"")</f>
        <v>3</v>
      </c>
      <c r="U21" s="825" t="b">
        <f>AND('Subsidy Contract Calculation'!F5&gt;0,OR('Subsidy Contract Calculation'!C5="Federal",'Subsidy Contract Calculation'!C5="Local - Approved by ED"),Cdlac[[#This Row],[Quantity]]&gt;0)</f>
        <v>0</v>
      </c>
    </row>
    <row r="22" spans="1:21" ht="15" customHeight="1">
      <c r="A22" s="830"/>
      <c r="C22" s="2584" t="s">
        <v>2627</v>
      </c>
      <c r="D22" s="2584" t="s">
        <v>2628</v>
      </c>
      <c r="E22" s="2584" t="s">
        <v>2629</v>
      </c>
      <c r="F22" s="2584" t="s">
        <v>2630</v>
      </c>
      <c r="G22" s="2584" t="s">
        <v>2631</v>
      </c>
      <c r="H22" s="851"/>
      <c r="I22" s="850"/>
      <c r="L22" s="825">
        <f>IFERROR(MIN(4,MATCH(Application!B720,UnitSizes,0)-1),"")</f>
        <v>1</v>
      </c>
      <c r="M22" s="846">
        <f>Application!G720</f>
        <v>7</v>
      </c>
      <c r="N22" s="852">
        <f>Application!AC720</f>
        <v>0.4</v>
      </c>
      <c r="O22" s="852">
        <f>IF(Cdlac[[#This Row],[Quantity]]&gt;0,IF(Cdlac[[#This Row],[Federal]],30%,IF(AND(OR(NOT($G$38),$G$38=""),$G$43),40%,Cdlac[[#This Row],[iAMI]])),"")</f>
        <v>0.4</v>
      </c>
      <c r="P22" s="846" cm="1">
        <f t="array" ref="P22">IF(Cdlac[[#This Row],[Quantity]]&gt;0,INDEX(TcacRents,$P$18,Cdlac[[#This Row],[Bedrooms]]+1)*Cdlac[[#This Row],[AMI]],"")</f>
        <v>660</v>
      </c>
      <c r="Q22" s="943"/>
      <c r="R22" s="846" cm="1">
        <f t="array" ref="R22">IF(Cdlac[[#This Row],[Quantity]]&gt;0,INDEX(HudFmrs,$P$18,Cdlac[[#This Row],[Bedrooms]]+1),"")</f>
        <v>989</v>
      </c>
      <c r="S22" s="846">
        <f>IF(Cdlac[[#This Row],[Quantity]]&gt;0,MAX(0,Cdlac[[#This Row],[Fair Market Rent]]-IF(AND($G$37,$G$38,$G$38&lt;&gt;"",NOT(Cdlac[[#This Row],[Federal]]),Cdlac[[#This Row],[Preservation Rent]]&lt;&gt;""),Cdlac[[#This Row],[Preservation Rent]],Cdlac[[#This Row],[Restricted Rent]])),"")</f>
        <v>329</v>
      </c>
      <c r="T22" s="825">
        <f>IF(Cdlac[[#This Row],[Quantity]]&gt;0,AND(Application!AK720&lt;&gt;"N/A",Application!AK720&lt;&gt;"")*Cdlac[[#This Row],[Quantity]],"")</f>
        <v>0</v>
      </c>
      <c r="U22" s="825" t="b">
        <f>AND('Subsidy Contract Calculation'!F6&gt;0,OR('Subsidy Contract Calculation'!C6="Federal",'Subsidy Contract Calculation'!C6="Local - Approved by ED"),Cdlac[[#This Row],[Quantity]]&gt;0)</f>
        <v>0</v>
      </c>
    </row>
    <row r="23" spans="1:21" ht="15" customHeight="1">
      <c r="A23" s="830"/>
      <c r="C23" s="2585"/>
      <c r="D23" s="2585"/>
      <c r="E23" s="2585"/>
      <c r="F23" s="2585"/>
      <c r="G23" s="2585"/>
      <c r="H23" s="851"/>
      <c r="I23" s="850"/>
      <c r="L23" s="825">
        <f>IFERROR(MIN(4,MATCH(Application!B721,UnitSizes,0)-1),"")</f>
        <v>2</v>
      </c>
      <c r="M23" s="846">
        <f>Application!G721</f>
        <v>1</v>
      </c>
      <c r="N23" s="852">
        <f>Application!AC721</f>
        <v>0.4</v>
      </c>
      <c r="O23" s="852">
        <f>IF(Cdlac[[#This Row],[Quantity]]&gt;0,IF(Cdlac[[#This Row],[Federal]],30%,IF(AND(OR(NOT($G$38),$G$38=""),$G$43),40%,Cdlac[[#This Row],[iAMI]])),"")</f>
        <v>0.4</v>
      </c>
      <c r="P23" s="846" cm="1">
        <f t="array" ref="P23">IF(Cdlac[[#This Row],[Quantity]]&gt;0,INDEX(TcacRents,$P$18,Cdlac[[#This Row],[Bedrooms]]+1)*Cdlac[[#This Row],[AMI]],"")</f>
        <v>792</v>
      </c>
      <c r="Q23" s="943"/>
      <c r="R23" s="846" cm="1">
        <f t="array" ref="R23">IF(Cdlac[[#This Row],[Quantity]]&gt;0,INDEX(HudFmrs,$P$18,Cdlac[[#This Row],[Bedrooms]]+1),"")</f>
        <v>1299</v>
      </c>
      <c r="S23" s="846">
        <f>IF(Cdlac[[#This Row],[Quantity]]&gt;0,MAX(0,Cdlac[[#This Row],[Fair Market Rent]]-IF(AND($G$37,$G$38,$G$38&lt;&gt;"",NOT(Cdlac[[#This Row],[Federal]]),Cdlac[[#This Row],[Preservation Rent]]&lt;&gt;""),Cdlac[[#This Row],[Preservation Rent]],Cdlac[[#This Row],[Restricted Rent]])),"")</f>
        <v>507</v>
      </c>
      <c r="T23" s="825">
        <f>IF(Cdlac[[#This Row],[Quantity]]&gt;0,AND(Application!AK721&lt;&gt;"N/A",Application!AK721&lt;&gt;"")*Cdlac[[#This Row],[Quantity]],"")</f>
        <v>0</v>
      </c>
      <c r="U23" s="825" t="b">
        <f>AND('Subsidy Contract Calculation'!F7&gt;0,OR('Subsidy Contract Calculation'!C7="Federal",'Subsidy Contract Calculation'!C7="Local - Approved by ED"),Cdlac[[#This Row],[Quantity]]&gt;0)</f>
        <v>0</v>
      </c>
    </row>
    <row r="24" spans="1:21" ht="15" customHeight="1">
      <c r="C24" s="853">
        <v>0</v>
      </c>
      <c r="D24" s="854">
        <v>0.9</v>
      </c>
      <c r="E24" s="853">
        <f>SUMIFS(Cdlac[Quantity],Cdlac[Bedrooms],C24)</f>
        <v>0</v>
      </c>
      <c r="F24" s="853">
        <f>E24</f>
        <v>0</v>
      </c>
      <c r="G24" s="853">
        <f>D24*F24</f>
        <v>0</v>
      </c>
      <c r="L24" s="825">
        <f>IFERROR(MIN(4,MATCH(Application!B722,UnitSizes,0)-1),"")</f>
        <v>1</v>
      </c>
      <c r="M24" s="846">
        <f>Application!G722</f>
        <v>28</v>
      </c>
      <c r="N24" s="852">
        <f>Application!AC722</f>
        <v>0.5</v>
      </c>
      <c r="O24" s="852">
        <f>IF(Cdlac[[#This Row],[Quantity]]&gt;0,IF(Cdlac[[#This Row],[Federal]],30%,IF(AND(OR(NOT($G$38),$G$38=""),$G$43),40%,Cdlac[[#This Row],[iAMI]])),"")</f>
        <v>0.5</v>
      </c>
      <c r="P24" s="846" cm="1">
        <f t="array" ref="P24">IF(Cdlac[[#This Row],[Quantity]]&gt;0,INDEX(TcacRents,$P$18,Cdlac[[#This Row],[Bedrooms]]+1)*Cdlac[[#This Row],[AMI]],"")</f>
        <v>825</v>
      </c>
      <c r="Q24" s="943"/>
      <c r="R24" s="846" cm="1">
        <f t="array" ref="R24">IF(Cdlac[[#This Row],[Quantity]]&gt;0,INDEX(HudFmrs,$P$18,Cdlac[[#This Row],[Bedrooms]]+1),"")</f>
        <v>989</v>
      </c>
      <c r="S24" s="846">
        <f>IF(Cdlac[[#This Row],[Quantity]]&gt;0,MAX(0,Cdlac[[#This Row],[Fair Market Rent]]-IF(AND($G$37,$G$38,$G$38&lt;&gt;"",NOT(Cdlac[[#This Row],[Federal]]),Cdlac[[#This Row],[Preservation Rent]]&lt;&gt;""),Cdlac[[#This Row],[Preservation Rent]],Cdlac[[#This Row],[Restricted Rent]])),"")</f>
        <v>164</v>
      </c>
      <c r="T24" s="825">
        <f>IF(Cdlac[[#This Row],[Quantity]]&gt;0,AND(Application!AK722&lt;&gt;"N/A",Application!AK722&lt;&gt;"")*Cdlac[[#This Row],[Quantity]],"")</f>
        <v>0</v>
      </c>
      <c r="U24" s="825" t="b">
        <f>AND('Subsidy Contract Calculation'!F8&gt;0,OR('Subsidy Contract Calculation'!C8="Federal",'Subsidy Contract Calculation'!C8="Local - Approved by ED"),Cdlac[[#This Row],[Quantity]]&gt;0)</f>
        <v>0</v>
      </c>
    </row>
    <row r="25" spans="1:21" ht="15" customHeight="1">
      <c r="C25" s="853">
        <v>1</v>
      </c>
      <c r="D25" s="854">
        <v>1</v>
      </c>
      <c r="E25" s="853">
        <f>SUMIFS(Cdlac[Quantity],Cdlac[Bedrooms],C25)</f>
        <v>64</v>
      </c>
      <c r="F25" s="853">
        <f>E25</f>
        <v>64</v>
      </c>
      <c r="G25" s="853">
        <f>D25*F25</f>
        <v>64</v>
      </c>
      <c r="L25" s="825">
        <f>IFERROR(MIN(4,MATCH(Application!B723,UnitSizes,0)-1),"")</f>
        <v>2</v>
      </c>
      <c r="M25" s="846">
        <f>Application!G723</f>
        <v>4</v>
      </c>
      <c r="N25" s="852">
        <f>Application!AC723</f>
        <v>0.5</v>
      </c>
      <c r="O25" s="852">
        <f>IF(Cdlac[[#This Row],[Quantity]]&gt;0,IF(Cdlac[[#This Row],[Federal]],30%,IF(AND(OR(NOT($G$38),$G$38=""),$G$43),40%,Cdlac[[#This Row],[iAMI]])),"")</f>
        <v>0.5</v>
      </c>
      <c r="P25" s="846" cm="1">
        <f t="array" ref="P25">IF(Cdlac[[#This Row],[Quantity]]&gt;0,INDEX(TcacRents,$P$18,Cdlac[[#This Row],[Bedrooms]]+1)*Cdlac[[#This Row],[AMI]],"")</f>
        <v>990</v>
      </c>
      <c r="Q25" s="943"/>
      <c r="R25" s="846" cm="1">
        <f t="array" ref="R25">IF(Cdlac[[#This Row],[Quantity]]&gt;0,INDEX(HudFmrs,$P$18,Cdlac[[#This Row],[Bedrooms]]+1),"")</f>
        <v>1299</v>
      </c>
      <c r="S25" s="846">
        <f>IF(Cdlac[[#This Row],[Quantity]]&gt;0,MAX(0,Cdlac[[#This Row],[Fair Market Rent]]-IF(AND($G$37,$G$38,$G$38&lt;&gt;"",NOT(Cdlac[[#This Row],[Federal]]),Cdlac[[#This Row],[Preservation Rent]]&lt;&gt;""),Cdlac[[#This Row],[Preservation Rent]],Cdlac[[#This Row],[Restricted Rent]])),"")</f>
        <v>309</v>
      </c>
      <c r="T25" s="825">
        <f>IF(Cdlac[[#This Row],[Quantity]]&gt;0,AND(Application!AK723&lt;&gt;"N/A",Application!AK723&lt;&gt;"")*Cdlac[[#This Row],[Quantity]],"")</f>
        <v>0</v>
      </c>
      <c r="U25" s="825" t="b">
        <f>AND('Subsidy Contract Calculation'!F9&gt;0,OR('Subsidy Contract Calculation'!C9="Federal",'Subsidy Contract Calculation'!C9="Local - Approved by ED"),Cdlac[[#This Row],[Quantity]]&gt;0)</f>
        <v>0</v>
      </c>
    </row>
    <row r="26" spans="1:21" ht="15" customHeight="1">
      <c r="A26" s="855"/>
      <c r="C26" s="856">
        <v>2</v>
      </c>
      <c r="D26" s="854">
        <v>1.25</v>
      </c>
      <c r="E26" s="853">
        <f>SUMIFS(Cdlac[Quantity],Cdlac[Bedrooms],C26)</f>
        <v>15</v>
      </c>
      <c r="F26" s="856">
        <f>SUM(E26:E28)-SUM(F27:F28)</f>
        <v>15</v>
      </c>
      <c r="G26" s="853">
        <f>D26*F26</f>
        <v>18.75</v>
      </c>
      <c r="H26" s="855"/>
      <c r="I26" s="855"/>
      <c r="L26" s="825">
        <f>IFERROR(MIN(4,MATCH(Application!B724,UnitSizes,0)-1),"")</f>
        <v>1</v>
      </c>
      <c r="M26" s="846">
        <f>Application!G724</f>
        <v>8</v>
      </c>
      <c r="N26" s="852">
        <f>Application!AC724</f>
        <v>0.8</v>
      </c>
      <c r="O26" s="852">
        <f>IF(Cdlac[[#This Row],[Quantity]]&gt;0,IF(Cdlac[[#This Row],[Federal]],30%,IF(AND(OR(NOT($G$38),$G$38=""),$G$43),40%,Cdlac[[#This Row],[iAMI]])),"")</f>
        <v>0.8</v>
      </c>
      <c r="P26" s="846" cm="1">
        <f t="array" ref="P26">IF(Cdlac[[#This Row],[Quantity]]&gt;0,INDEX(TcacRents,$P$18,Cdlac[[#This Row],[Bedrooms]]+1)*Cdlac[[#This Row],[AMI]],"")</f>
        <v>1320</v>
      </c>
      <c r="Q26" s="943"/>
      <c r="R26" s="846" cm="1">
        <f t="array" ref="R26">IF(Cdlac[[#This Row],[Quantity]]&gt;0,INDEX(HudFmrs,$P$18,Cdlac[[#This Row],[Bedrooms]]+1),"")</f>
        <v>989</v>
      </c>
      <c r="S26" s="846">
        <f>IF(Cdlac[[#This Row],[Quantity]]&gt;0,MAX(0,Cdlac[[#This Row],[Fair Market Rent]]-IF(AND($G$37,$G$38,$G$38&lt;&gt;"",NOT(Cdlac[[#This Row],[Federal]]),Cdlac[[#This Row],[Preservation Rent]]&lt;&gt;""),Cdlac[[#This Row],[Preservation Rent]],Cdlac[[#This Row],[Restricted Rent]])),"")</f>
        <v>0</v>
      </c>
      <c r="T26" s="825">
        <f>IF(Cdlac[[#This Row],[Quantity]]&gt;0,AND(Application!AK724&lt;&gt;"N/A",Application!AK724&lt;&gt;"")*Cdlac[[#This Row],[Quantity]],"")</f>
        <v>0</v>
      </c>
      <c r="U26" s="825" t="b">
        <f>AND('Subsidy Contract Calculation'!F10&gt;0,OR('Subsidy Contract Calculation'!C10="Federal",'Subsidy Contract Calculation'!C10="Local - Approved by ED"),Cdlac[[#This Row],[Quantity]]&gt;0)</f>
        <v>0</v>
      </c>
    </row>
    <row r="27" spans="1:21" ht="15" customHeight="1">
      <c r="A27" s="855"/>
      <c r="C27" s="856">
        <v>3</v>
      </c>
      <c r="D27" s="854">
        <f>1.5+0.25*0</f>
        <v>1.5</v>
      </c>
      <c r="E27" s="853">
        <f>SUMIFS(Cdlac[Quantity],Cdlac[Bedrooms],C27)</f>
        <v>0</v>
      </c>
      <c r="F27" s="856">
        <f>MIN(E27,ROUNDDOWN(E29*30%,0))</f>
        <v>0</v>
      </c>
      <c r="G27" s="853">
        <f>D27*F27</f>
        <v>0</v>
      </c>
      <c r="H27" s="855"/>
      <c r="I27" s="855"/>
      <c r="L27" s="825">
        <f>IFERROR(MIN(4,MATCH(Application!B725,UnitSizes,0)-1),"")</f>
        <v>2</v>
      </c>
      <c r="M27" s="846">
        <f>Application!G725</f>
        <v>7</v>
      </c>
      <c r="N27" s="852">
        <f>Application!AC725</f>
        <v>0.8</v>
      </c>
      <c r="O27" s="852">
        <f>IF(Cdlac[[#This Row],[Quantity]]&gt;0,IF(Cdlac[[#This Row],[Federal]],30%,IF(AND(OR(NOT($G$38),$G$38=""),$G$43),40%,Cdlac[[#This Row],[iAMI]])),"")</f>
        <v>0.8</v>
      </c>
      <c r="P27" s="846" cm="1">
        <f t="array" ref="P27">IF(Cdlac[[#This Row],[Quantity]]&gt;0,INDEX(TcacRents,$P$18,Cdlac[[#This Row],[Bedrooms]]+1)*Cdlac[[#This Row],[AMI]],"")</f>
        <v>1584</v>
      </c>
      <c r="Q27" s="943"/>
      <c r="R27" s="846" cm="1">
        <f t="array" ref="R27">IF(Cdlac[[#This Row],[Quantity]]&gt;0,INDEX(HudFmrs,$P$18,Cdlac[[#This Row],[Bedrooms]]+1),"")</f>
        <v>1299</v>
      </c>
      <c r="S27" s="846">
        <f>IF(Cdlac[[#This Row],[Quantity]]&gt;0,MAX(0,Cdlac[[#This Row],[Fair Market Rent]]-IF(AND($G$37,$G$38,$G$38&lt;&gt;"",NOT(Cdlac[[#This Row],[Federal]]),Cdlac[[#This Row],[Preservation Rent]]&lt;&gt;""),Cdlac[[#This Row],[Preservation Rent]],Cdlac[[#This Row],[Restricted Rent]])),"")</f>
        <v>0</v>
      </c>
      <c r="T27" s="825">
        <f>IF(Cdlac[[#This Row],[Quantity]]&gt;0,AND(Application!AK725&lt;&gt;"N/A",Application!AK725&lt;&gt;"")*Cdlac[[#This Row],[Quantity]],"")</f>
        <v>0</v>
      </c>
      <c r="U27" s="825" t="b">
        <f>AND('Subsidy Contract Calculation'!F11&gt;0,OR('Subsidy Contract Calculation'!C11="Federal",'Subsidy Contract Calculation'!C11="Local - Approved by ED"),Cdlac[[#This Row],[Quantity]]&gt;0)</f>
        <v>0</v>
      </c>
    </row>
    <row r="28" spans="1:21" ht="15" customHeight="1" thickBot="1">
      <c r="A28" s="855"/>
      <c r="C28" s="867">
        <v>4</v>
      </c>
      <c r="D28" s="868">
        <f>1.75+0.25*0</f>
        <v>1.75</v>
      </c>
      <c r="E28" s="869">
        <f>SUMIFS(Cdlac[Quantity],Cdlac[Bedrooms],C28)</f>
        <v>0</v>
      </c>
      <c r="F28" s="867">
        <f>MIN(E28,ROUNDDOWN(E29*10%,0))</f>
        <v>0</v>
      </c>
      <c r="G28" s="869">
        <f>D28*F28</f>
        <v>0</v>
      </c>
      <c r="H28" s="855"/>
      <c r="I28" s="855"/>
      <c r="L28" s="825" t="str">
        <f>IFERROR(MIN(4,MATCH(Application!B726,UnitSizes,0)-1),"")</f>
        <v/>
      </c>
      <c r="M28" s="846">
        <f>Application!G726</f>
        <v>0</v>
      </c>
      <c r="N28" s="852">
        <f>Application!AC726</f>
        <v>0</v>
      </c>
      <c r="O28" s="852" t="str">
        <f>IF(Cdlac[[#This Row],[Quantity]]&gt;0,IF(Cdlac[[#This Row],[Federal]],30%,IF(AND(OR(NOT($G$38),$G$38=""),$G$43),40%,Cdlac[[#This Row],[iAMI]])),"")</f>
        <v/>
      </c>
      <c r="P28" s="846" t="str" cm="1">
        <f t="array" ref="P28">IF(Cdlac[[#This Row],[Quantity]]&gt;0,INDEX(TcacRents,$P$18,Cdlac[[#This Row],[Bedrooms]]+1)*Cdlac[[#This Row],[AMI]],"")</f>
        <v/>
      </c>
      <c r="Q28" s="943"/>
      <c r="R28" s="846" t="str" cm="1">
        <f t="array" ref="R28">IF(Cdlac[[#This Row],[Quantity]]&gt;0,INDEX(HudFmrs,$P$18,Cdlac[[#This Row],[Bedrooms]]+1),"")</f>
        <v/>
      </c>
      <c r="S28" s="846" t="str">
        <f>IF(Cdlac[[#This Row],[Quantity]]&gt;0,MAX(0,Cdlac[[#This Row],[Fair Market Rent]]-IF(AND($G$37,$G$38,$G$38&lt;&gt;"",NOT(Cdlac[[#This Row],[Federal]]),Cdlac[[#This Row],[Preservation Rent]]&lt;&gt;""),Cdlac[[#This Row],[Preservation Rent]],Cdlac[[#This Row],[Restricted Rent]])),"")</f>
        <v/>
      </c>
      <c r="T28" s="825" t="str">
        <f>IF(Cdlac[[#This Row],[Quantity]]&gt;0,AND(Application!AK726&lt;&gt;"N/A",Application!AK726&lt;&gt;"")*Cdlac[[#This Row],[Quantity]],"")</f>
        <v/>
      </c>
      <c r="U28" s="825" t="b">
        <f>AND('Subsidy Contract Calculation'!F12&gt;0,OR('Subsidy Contract Calculation'!C12="Federal",'Subsidy Contract Calculation'!C12="Local - Approved by ED"),Cdlac[[#This Row],[Quantity]]&gt;0)</f>
        <v>0</v>
      </c>
    </row>
    <row r="29" spans="1:21" ht="15" customHeight="1">
      <c r="A29" s="855"/>
      <c r="C29" s="2586" t="s">
        <v>1933</v>
      </c>
      <c r="D29" s="2587"/>
      <c r="E29" s="870">
        <f>SUM(E24:E28)</f>
        <v>79</v>
      </c>
      <c r="F29" s="870">
        <f>SUM(F24:F28)</f>
        <v>79</v>
      </c>
      <c r="G29" s="871">
        <f>SUMPRODUCT(D24:D28,F24:F28)</f>
        <v>82.75</v>
      </c>
      <c r="H29" s="855"/>
      <c r="I29" s="855"/>
      <c r="L29" s="825" t="str">
        <f>IFERROR(MIN(4,MATCH(Application!B727,UnitSizes,0)-1),"")</f>
        <v/>
      </c>
      <c r="M29" s="846">
        <f>Application!G727</f>
        <v>0</v>
      </c>
      <c r="N29" s="852">
        <f>Application!AC727</f>
        <v>0</v>
      </c>
      <c r="O29" s="852" t="str">
        <f>IF(Cdlac[[#This Row],[Quantity]]&gt;0,IF(Cdlac[[#This Row],[Federal]],30%,IF(AND(OR(NOT($G$38),$G$38=""),$G$43),40%,Cdlac[[#This Row],[iAMI]])),"")</f>
        <v/>
      </c>
      <c r="P29" s="846" t="str" cm="1">
        <f t="array" ref="P29">IF(Cdlac[[#This Row],[Quantity]]&gt;0,INDEX(TcacRents,$P$18,Cdlac[[#This Row],[Bedrooms]]+1)*Cdlac[[#This Row],[AMI]],"")</f>
        <v/>
      </c>
      <c r="Q29" s="943"/>
      <c r="R29" s="846" t="str" cm="1">
        <f t="array" ref="R29">IF(Cdlac[[#This Row],[Quantity]]&gt;0,INDEX(HudFmrs,$P$18,Cdlac[[#This Row],[Bedrooms]]+1),"")</f>
        <v/>
      </c>
      <c r="S29" s="846" t="str">
        <f>IF(Cdlac[[#This Row],[Quantity]]&gt;0,MAX(0,Cdlac[[#This Row],[Fair Market Rent]]-IF(AND($G$37,$G$38,$G$38&lt;&gt;"",NOT(Cdlac[[#This Row],[Federal]]),Cdlac[[#This Row],[Preservation Rent]]&lt;&gt;""),Cdlac[[#This Row],[Preservation Rent]],Cdlac[[#This Row],[Restricted Rent]])),"")</f>
        <v/>
      </c>
      <c r="T29" s="825" t="str">
        <f>IF(Cdlac[[#This Row],[Quantity]]&gt;0,AND(Application!AK727&lt;&gt;"N/A",Application!AK727&lt;&gt;"")*Cdlac[[#This Row],[Quantity]],"")</f>
        <v/>
      </c>
      <c r="U29" s="825" t="b">
        <f>AND('Subsidy Contract Calculation'!F13&gt;0,OR('Subsidy Contract Calculation'!C13="Federal",'Subsidy Contract Calculation'!C13="Local - Approved by ED"),Cdlac[[#This Row],[Quantity]]&gt;0)</f>
        <v>0</v>
      </c>
    </row>
    <row r="30" spans="1:21" ht="15" customHeight="1">
      <c r="A30" s="855"/>
      <c r="C30" s="855"/>
      <c r="D30" s="855"/>
      <c r="E30" s="855"/>
      <c r="F30" s="855"/>
      <c r="G30" s="855"/>
      <c r="H30" s="855"/>
      <c r="I30" s="855"/>
      <c r="L30" s="825" t="str">
        <f>IFERROR(MIN(4,MATCH(Application!B728,UnitSizes,0)-1),"")</f>
        <v/>
      </c>
      <c r="M30" s="846">
        <f>Application!G728</f>
        <v>0</v>
      </c>
      <c r="N30" s="852">
        <f>Application!AC728</f>
        <v>0</v>
      </c>
      <c r="O30" s="852" t="str">
        <f>IF(Cdlac[[#This Row],[Quantity]]&gt;0,IF(Cdlac[[#This Row],[Federal]],30%,IF(AND(OR(NOT($G$38),$G$38=""),$G$43),40%,Cdlac[[#This Row],[iAMI]])),"")</f>
        <v/>
      </c>
      <c r="P30" s="846" t="str" cm="1">
        <f t="array" ref="P30">IF(Cdlac[[#This Row],[Quantity]]&gt;0,INDEX(TcacRents,$P$18,Cdlac[[#This Row],[Bedrooms]]+1)*Cdlac[[#This Row],[AMI]],"")</f>
        <v/>
      </c>
      <c r="Q30" s="943"/>
      <c r="R30" s="846" t="str" cm="1">
        <f t="array" ref="R30">IF(Cdlac[[#This Row],[Quantity]]&gt;0,INDEX(HudFmrs,$P$18,Cdlac[[#This Row],[Bedrooms]]+1),"")</f>
        <v/>
      </c>
      <c r="S30" s="846" t="str">
        <f>IF(Cdlac[[#This Row],[Quantity]]&gt;0,MAX(0,Cdlac[[#This Row],[Fair Market Rent]]-IF(AND($G$37,$G$38,$G$38&lt;&gt;"",NOT(Cdlac[[#This Row],[Federal]]),Cdlac[[#This Row],[Preservation Rent]]&lt;&gt;""),Cdlac[[#This Row],[Preservation Rent]],Cdlac[[#This Row],[Restricted Rent]])),"")</f>
        <v/>
      </c>
      <c r="T30" s="825" t="str">
        <f>IF(Cdlac[[#This Row],[Quantity]]&gt;0,AND(Application!AK728&lt;&gt;"N/A",Application!AK728&lt;&gt;"")*Cdlac[[#This Row],[Quantity]],"")</f>
        <v/>
      </c>
      <c r="U30" s="825" t="b">
        <f>AND('Subsidy Contract Calculation'!F14&gt;0,OR('Subsidy Contract Calculation'!C14="Federal",'Subsidy Contract Calculation'!C14="Local - Approved by ED"),Cdlac[[#This Row],[Quantity]]&gt;0)</f>
        <v>0</v>
      </c>
    </row>
    <row r="31" spans="1:21" ht="15" customHeight="1">
      <c r="A31" s="855"/>
      <c r="E31" s="898" t="s">
        <v>2631</v>
      </c>
      <c r="G31" s="895">
        <f>G29</f>
        <v>82.75</v>
      </c>
      <c r="H31" s="855"/>
      <c r="I31" s="855"/>
      <c r="L31" s="825" t="str">
        <f>IFERROR(MIN(4,MATCH(Application!B729,UnitSizes,0)-1),"")</f>
        <v/>
      </c>
      <c r="M31" s="846">
        <f>Application!G729</f>
        <v>0</v>
      </c>
      <c r="N31" s="852">
        <f>Application!AC729</f>
        <v>0</v>
      </c>
      <c r="O31" s="852" t="str">
        <f>IF(Cdlac[[#This Row],[Quantity]]&gt;0,IF(Cdlac[[#This Row],[Federal]],30%,IF(AND(OR(NOT($G$38),$G$38=""),$G$43),40%,Cdlac[[#This Row],[iAMI]])),"")</f>
        <v/>
      </c>
      <c r="P31" s="846" t="str" cm="1">
        <f t="array" ref="P31">IF(Cdlac[[#This Row],[Quantity]]&gt;0,INDEX(TcacRents,$P$18,Cdlac[[#This Row],[Bedrooms]]+1)*Cdlac[[#This Row],[AMI]],"")</f>
        <v/>
      </c>
      <c r="Q31" s="943"/>
      <c r="R31" s="846" t="str" cm="1">
        <f t="array" ref="R31">IF(Cdlac[[#This Row],[Quantity]]&gt;0,INDEX(HudFmrs,$P$18,Cdlac[[#This Row],[Bedrooms]]+1),"")</f>
        <v/>
      </c>
      <c r="S31" s="846" t="str">
        <f>IF(Cdlac[[#This Row],[Quantity]]&gt;0,MAX(0,Cdlac[[#This Row],[Fair Market Rent]]-IF(AND($G$37,$G$38,$G$38&lt;&gt;"",NOT(Cdlac[[#This Row],[Federal]]),Cdlac[[#This Row],[Preservation Rent]]&lt;&gt;""),Cdlac[[#This Row],[Preservation Rent]],Cdlac[[#This Row],[Restricted Rent]])),"")</f>
        <v/>
      </c>
      <c r="T31" s="825" t="str">
        <f>IF(Cdlac[[#This Row],[Quantity]]&gt;0,AND(Application!AK729&lt;&gt;"N/A",Application!AK729&lt;&gt;"")*Cdlac[[#This Row],[Quantity]],"")</f>
        <v/>
      </c>
      <c r="U31" s="825" t="b">
        <f>AND('Subsidy Contract Calculation'!F15&gt;0,OR('Subsidy Contract Calculation'!C15="Federal",'Subsidy Contract Calculation'!C15="Local - Approved by ED"),Cdlac[[#This Row],[Quantity]]&gt;0)</f>
        <v>0</v>
      </c>
    </row>
    <row r="32" spans="1:21" ht="15" customHeight="1">
      <c r="A32" s="855"/>
      <c r="E32" s="898" t="s">
        <v>2632</v>
      </c>
      <c r="F32" s="894" t="s">
        <v>2633</v>
      </c>
      <c r="G32" s="896">
        <v>50000</v>
      </c>
      <c r="H32" s="855"/>
      <c r="I32" s="855"/>
      <c r="L32" s="825" t="str">
        <f>IFERROR(MIN(4,MATCH(Application!B730,UnitSizes,0)-1),"")</f>
        <v/>
      </c>
      <c r="M32" s="846">
        <f>Application!G730</f>
        <v>0</v>
      </c>
      <c r="N32" s="852">
        <f>Application!AC730</f>
        <v>0</v>
      </c>
      <c r="O32" s="852" t="str">
        <f>IF(Cdlac[[#This Row],[Quantity]]&gt;0,IF(Cdlac[[#This Row],[Federal]],30%,IF(AND(OR(NOT($G$38),$G$38=""),$G$43),40%,Cdlac[[#This Row],[iAMI]])),"")</f>
        <v/>
      </c>
      <c r="P32" s="846" t="str" cm="1">
        <f t="array" ref="P32">IF(Cdlac[[#This Row],[Quantity]]&gt;0,INDEX(TcacRents,$P$18,Cdlac[[#This Row],[Bedrooms]]+1)*Cdlac[[#This Row],[AMI]],"")</f>
        <v/>
      </c>
      <c r="Q32" s="943"/>
      <c r="R32" s="846" t="str" cm="1">
        <f t="array" ref="R32">IF(Cdlac[[#This Row],[Quantity]]&gt;0,INDEX(HudFmrs,$P$18,Cdlac[[#This Row],[Bedrooms]]+1),"")</f>
        <v/>
      </c>
      <c r="S32" s="846" t="str">
        <f>IF(Cdlac[[#This Row],[Quantity]]&gt;0,MAX(0,Cdlac[[#This Row],[Fair Market Rent]]-IF(AND($G$37,$G$38,$G$38&lt;&gt;"",NOT(Cdlac[[#This Row],[Federal]]),Cdlac[[#This Row],[Preservation Rent]]&lt;&gt;""),Cdlac[[#This Row],[Preservation Rent]],Cdlac[[#This Row],[Restricted Rent]])),"")</f>
        <v/>
      </c>
      <c r="T32" s="825" t="str">
        <f>IF(Cdlac[[#This Row],[Quantity]]&gt;0,AND(Application!AK730&lt;&gt;"N/A",Application!AK730&lt;&gt;"")*Cdlac[[#This Row],[Quantity]],"")</f>
        <v/>
      </c>
      <c r="U32" s="825" t="b">
        <f>AND('Subsidy Contract Calculation'!F16&gt;0,OR('Subsidy Contract Calculation'!C16="Federal",'Subsidy Contract Calculation'!C16="Local - Approved by ED"),Cdlac[[#This Row],[Quantity]]&gt;0)</f>
        <v>0</v>
      </c>
    </row>
    <row r="33" spans="1:21" ht="15" customHeight="1">
      <c r="A33" s="855"/>
      <c r="E33" s="899" t="s">
        <v>2634</v>
      </c>
      <c r="F33" s="827"/>
      <c r="G33" s="900">
        <f>G32*G31</f>
        <v>4137500</v>
      </c>
      <c r="H33" s="855"/>
      <c r="I33" s="855"/>
      <c r="L33" s="825" t="str">
        <f>IFERROR(MIN(4,MATCH(Application!B731,UnitSizes,0)-1),"")</f>
        <v/>
      </c>
      <c r="M33" s="846">
        <f>Application!G731</f>
        <v>0</v>
      </c>
      <c r="N33" s="852">
        <f>Application!AC731</f>
        <v>0</v>
      </c>
      <c r="O33" s="852" t="str">
        <f>IF(Cdlac[[#This Row],[Quantity]]&gt;0,IF(Cdlac[[#This Row],[Federal]],30%,IF(AND(OR(NOT($G$38),$G$38=""),$G$43),40%,Cdlac[[#This Row],[iAMI]])),"")</f>
        <v/>
      </c>
      <c r="P33" s="846" t="str" cm="1">
        <f t="array" ref="P33">IF(Cdlac[[#This Row],[Quantity]]&gt;0,INDEX(TcacRents,$P$18,Cdlac[[#This Row],[Bedrooms]]+1)*Cdlac[[#This Row],[AMI]],"")</f>
        <v/>
      </c>
      <c r="Q33" s="943"/>
      <c r="R33" s="846" t="str" cm="1">
        <f t="array" ref="R33">IF(Cdlac[[#This Row],[Quantity]]&gt;0,INDEX(HudFmrs,$P$18,Cdlac[[#This Row],[Bedrooms]]+1),"")</f>
        <v/>
      </c>
      <c r="S33" s="846" t="str">
        <f>IF(Cdlac[[#This Row],[Quantity]]&gt;0,MAX(0,Cdlac[[#This Row],[Fair Market Rent]]-IF(AND($G$37,$G$38,$G$38&lt;&gt;"",NOT(Cdlac[[#This Row],[Federal]]),Cdlac[[#This Row],[Preservation Rent]]&lt;&gt;""),Cdlac[[#This Row],[Preservation Rent]],Cdlac[[#This Row],[Restricted Rent]])),"")</f>
        <v/>
      </c>
      <c r="T33" s="825" t="str">
        <f>IF(Cdlac[[#This Row],[Quantity]]&gt;0,AND(Application!AK731&lt;&gt;"N/A",Application!AK731&lt;&gt;"")*Cdlac[[#This Row],[Quantity]],"")</f>
        <v/>
      </c>
      <c r="U33" s="825" t="b">
        <f>AND('Subsidy Contract Calculation'!F17&gt;0,OR('Subsidy Contract Calculation'!C17="Federal",'Subsidy Contract Calculation'!C17="Local - Approved by ED"),Cdlac[[#This Row],[Quantity]]&gt;0)</f>
        <v>0</v>
      </c>
    </row>
    <row r="34" spans="1:21" ht="15" customHeight="1">
      <c r="A34" s="855"/>
      <c r="B34" s="855"/>
      <c r="C34" s="855"/>
      <c r="D34" s="855"/>
      <c r="E34" s="855"/>
      <c r="F34" s="855"/>
      <c r="G34" s="855"/>
      <c r="H34" s="855"/>
      <c r="I34" s="855"/>
      <c r="L34" s="825" t="str">
        <f>IFERROR(MIN(4,MATCH(Application!B732,UnitSizes,0)-1),"")</f>
        <v/>
      </c>
      <c r="M34" s="846">
        <f>Application!G732</f>
        <v>0</v>
      </c>
      <c r="N34" s="852">
        <f>Application!AC732</f>
        <v>0</v>
      </c>
      <c r="O34" s="852" t="str">
        <f>IF(Cdlac[[#This Row],[Quantity]]&gt;0,IF(Cdlac[[#This Row],[Federal]],30%,IF(AND(OR(NOT($G$38),$G$38=""),$G$43),40%,Cdlac[[#This Row],[iAMI]])),"")</f>
        <v/>
      </c>
      <c r="P34" s="846" t="str" cm="1">
        <f t="array" ref="P34">IF(Cdlac[[#This Row],[Quantity]]&gt;0,INDEX(TcacRents,$P$18,Cdlac[[#This Row],[Bedrooms]]+1)*Cdlac[[#This Row],[AMI]],"")</f>
        <v/>
      </c>
      <c r="Q34" s="943"/>
      <c r="R34" s="846" t="str" cm="1">
        <f t="array" ref="R34">IF(Cdlac[[#This Row],[Quantity]]&gt;0,INDEX(HudFmrs,$P$18,Cdlac[[#This Row],[Bedrooms]]+1),"")</f>
        <v/>
      </c>
      <c r="S34" s="846" t="str">
        <f>IF(Cdlac[[#This Row],[Quantity]]&gt;0,MAX(0,Cdlac[[#This Row],[Fair Market Rent]]-IF(AND($G$37,$G$38,$G$38&lt;&gt;"",NOT(Cdlac[[#This Row],[Federal]]),Cdlac[[#This Row],[Preservation Rent]]&lt;&gt;""),Cdlac[[#This Row],[Preservation Rent]],Cdlac[[#This Row],[Restricted Rent]])),"")</f>
        <v/>
      </c>
      <c r="T34" s="825" t="str">
        <f>IF(Cdlac[[#This Row],[Quantity]]&gt;0,AND(Application!AK732&lt;&gt;"N/A",Application!AK732&lt;&gt;"")*Cdlac[[#This Row],[Quantity]],"")</f>
        <v/>
      </c>
      <c r="U34" s="825" t="b">
        <f>AND('Subsidy Contract Calculation'!F18&gt;0,OR('Subsidy Contract Calculation'!C18="Federal",'Subsidy Contract Calculation'!C18="Local - Approved by ED"),Cdlac[[#This Row],[Quantity]]&gt;0)</f>
        <v>0</v>
      </c>
    </row>
    <row r="35" spans="1:21" ht="15" customHeight="1">
      <c r="B35" s="847" t="str">
        <f>B10</f>
        <v>B. Rent Savings Benefit</v>
      </c>
      <c r="C35" s="848"/>
      <c r="D35" s="848"/>
      <c r="E35" s="848"/>
      <c r="F35" s="848"/>
      <c r="G35" s="848"/>
      <c r="H35" s="848"/>
      <c r="I35" s="849"/>
      <c r="L35" s="825" t="str">
        <f>IFERROR(MIN(4,MATCH(Application!B733,UnitSizes,0)-1),"")</f>
        <v/>
      </c>
      <c r="M35" s="846">
        <f>Application!G733</f>
        <v>0</v>
      </c>
      <c r="N35" s="852">
        <f>Application!AC733</f>
        <v>0</v>
      </c>
      <c r="O35" s="852" t="str">
        <f>IF(Cdlac[[#This Row],[Quantity]]&gt;0,IF(Cdlac[[#This Row],[Federal]],30%,IF(AND(OR(NOT($G$38),$G$38=""),$G$43),40%,Cdlac[[#This Row],[iAMI]])),"")</f>
        <v/>
      </c>
      <c r="P35" s="846" t="str" cm="1">
        <f t="array" ref="P35">IF(Cdlac[[#This Row],[Quantity]]&gt;0,INDEX(TcacRents,$P$18,Cdlac[[#This Row],[Bedrooms]]+1)*Cdlac[[#This Row],[AMI]],"")</f>
        <v/>
      </c>
      <c r="Q35" s="943"/>
      <c r="R35" s="846" t="str" cm="1">
        <f t="array" ref="R35">IF(Cdlac[[#This Row],[Quantity]]&gt;0,INDEX(HudFmrs,$P$18,Cdlac[[#This Row],[Bedrooms]]+1),"")</f>
        <v/>
      </c>
      <c r="S35" s="846" t="str">
        <f>IF(Cdlac[[#This Row],[Quantity]]&gt;0,MAX(0,Cdlac[[#This Row],[Fair Market Rent]]-IF(AND($G$37,$G$38,$G$38&lt;&gt;"",NOT(Cdlac[[#This Row],[Federal]]),Cdlac[[#This Row],[Preservation Rent]]&lt;&gt;""),Cdlac[[#This Row],[Preservation Rent]],Cdlac[[#This Row],[Restricted Rent]])),"")</f>
        <v/>
      </c>
      <c r="T35" s="825" t="str">
        <f>IF(Cdlac[[#This Row],[Quantity]]&gt;0,AND(Application!AK733&lt;&gt;"N/A",Application!AK733&lt;&gt;"")*Cdlac[[#This Row],[Quantity]],"")</f>
        <v/>
      </c>
      <c r="U35" s="825" t="b">
        <f>AND('Subsidy Contract Calculation'!F19&gt;0,OR('Subsidy Contract Calculation'!C19="Federal",'Subsidy Contract Calculation'!C19="Local - Approved by ED"),Cdlac[[#This Row],[Quantity]]&gt;0)</f>
        <v>0</v>
      </c>
    </row>
    <row r="36" spans="1:21" ht="15" customHeight="1">
      <c r="L36" s="825" t="str">
        <f>IFERROR(MIN(4,MATCH(Application!B734,UnitSizes,0)-1),"")</f>
        <v/>
      </c>
      <c r="M36" s="846">
        <f>Application!G734</f>
        <v>0</v>
      </c>
      <c r="N36" s="852">
        <f>Application!AC734</f>
        <v>0</v>
      </c>
      <c r="O36" s="852" t="str">
        <f>IF(Cdlac[[#This Row],[Quantity]]&gt;0,IF(Cdlac[[#This Row],[Federal]],30%,IF(AND(OR(NOT($G$38),$G$38=""),$G$43),40%,Cdlac[[#This Row],[iAMI]])),"")</f>
        <v/>
      </c>
      <c r="P36" s="846" t="str" cm="1">
        <f t="array" ref="P36">IF(Cdlac[[#This Row],[Quantity]]&gt;0,INDEX(TcacRents,$P$18,Cdlac[[#This Row],[Bedrooms]]+1)*Cdlac[[#This Row],[AMI]],"")</f>
        <v/>
      </c>
      <c r="Q36" s="943"/>
      <c r="R36" s="846" t="str" cm="1">
        <f t="array" ref="R36">IF(Cdlac[[#This Row],[Quantity]]&gt;0,INDEX(HudFmrs,$P$18,Cdlac[[#This Row],[Bedrooms]]+1),"")</f>
        <v/>
      </c>
      <c r="S36" s="846" t="str">
        <f>IF(Cdlac[[#This Row],[Quantity]]&gt;0,MAX(0,Cdlac[[#This Row],[Fair Market Rent]]-IF(AND($G$37,$G$38,$G$38&lt;&gt;"",NOT(Cdlac[[#This Row],[Federal]]),Cdlac[[#This Row],[Preservation Rent]]&lt;&gt;""),Cdlac[[#This Row],[Preservation Rent]],Cdlac[[#This Row],[Restricted Rent]])),"")</f>
        <v/>
      </c>
      <c r="T36" s="825" t="str">
        <f>IF(Cdlac[[#This Row],[Quantity]]&gt;0,AND(Application!AK734&lt;&gt;"N/A",Application!AK734&lt;&gt;"")*Cdlac[[#This Row],[Quantity]],"")</f>
        <v/>
      </c>
      <c r="U36" s="825" t="b">
        <f>AND('Subsidy Contract Calculation'!F20&gt;0,OR('Subsidy Contract Calculation'!C20="Federal",'Subsidy Contract Calculation'!C20="Local - Approved by ED"),Cdlac[[#This Row],[Quantity]]&gt;0)</f>
        <v>0</v>
      </c>
    </row>
    <row r="37" spans="1:21" ht="15" customHeight="1">
      <c r="E37" s="866" t="s">
        <v>2635</v>
      </c>
      <c r="G37" s="825" t="b">
        <f>OR('Points System'!B13="Yes",'Points System'!B16="Yes",'Points System'!B22="Yes",'Points System'!B25="Yes",'Points System'!B28="Yes",'Points System'!B33="Yes",'Points System'!B36="Yes",'Points System'!B40="Yes",'Points System'!B45="Yes")</f>
        <v>0</v>
      </c>
      <c r="L37" s="825" t="str">
        <f>IFERROR(MIN(4,MATCH(Application!B735,UnitSizes,0)-1),"")</f>
        <v/>
      </c>
      <c r="M37" s="846">
        <f>Application!G735</f>
        <v>0</v>
      </c>
      <c r="N37" s="852">
        <f>Application!AC735</f>
        <v>0</v>
      </c>
      <c r="O37" s="852" t="str">
        <f>IF(Cdlac[[#This Row],[Quantity]]&gt;0,IF(Cdlac[[#This Row],[Federal]],30%,IF(AND(OR(NOT($G$38),$G$38=""),$G$43),40%,Cdlac[[#This Row],[iAMI]])),"")</f>
        <v/>
      </c>
      <c r="P37" s="846" t="str" cm="1">
        <f t="array" ref="P37">IF(Cdlac[[#This Row],[Quantity]]&gt;0,INDEX(TcacRents,$P$18,Cdlac[[#This Row],[Bedrooms]]+1)*Cdlac[[#This Row],[AMI]],"")</f>
        <v/>
      </c>
      <c r="Q37" s="943"/>
      <c r="R37" s="846" t="str" cm="1">
        <f t="array" ref="R37">IF(Cdlac[[#This Row],[Quantity]]&gt;0,INDEX(HudFmrs,$P$18,Cdlac[[#This Row],[Bedrooms]]+1),"")</f>
        <v/>
      </c>
      <c r="S37" s="846" t="str">
        <f>IF(Cdlac[[#This Row],[Quantity]]&gt;0,MAX(0,Cdlac[[#This Row],[Fair Market Rent]]-IF(AND($G$37,$G$38,$G$38&lt;&gt;"",NOT(Cdlac[[#This Row],[Federal]]),Cdlac[[#This Row],[Preservation Rent]]&lt;&gt;""),Cdlac[[#This Row],[Preservation Rent]],Cdlac[[#This Row],[Restricted Rent]])),"")</f>
        <v/>
      </c>
      <c r="T37" s="825" t="str">
        <f>IF(Cdlac[[#This Row],[Quantity]]&gt;0,AND(Application!AK735&lt;&gt;"N/A",Application!AK735&lt;&gt;"")*Cdlac[[#This Row],[Quantity]],"")</f>
        <v/>
      </c>
      <c r="U37" s="825" t="b">
        <f>AND('Subsidy Contract Calculation'!F21&gt;0,OR('Subsidy Contract Calculation'!C21="Federal",'Subsidy Contract Calculation'!C21="Local - Approved by ED"),Cdlac[[#This Row],[Quantity]]&gt;0)</f>
        <v>0</v>
      </c>
    </row>
    <row r="38" spans="1:21" ht="15" customHeight="1">
      <c r="E38" s="866" t="s">
        <v>2636</v>
      </c>
      <c r="G38" s="942"/>
      <c r="L38" s="825" t="str">
        <f>IFERROR(MIN(4,MATCH(Application!B736,UnitSizes,0)-1),"")</f>
        <v/>
      </c>
      <c r="M38" s="846">
        <f>Application!G736</f>
        <v>0</v>
      </c>
      <c r="N38" s="852">
        <f>Application!AC736</f>
        <v>0</v>
      </c>
      <c r="O38" s="852" t="str">
        <f>IF(Cdlac[[#This Row],[Quantity]]&gt;0,IF(Cdlac[[#This Row],[Federal]],30%,IF(AND(OR(NOT($G$38),$G$38=""),$G$43),40%,Cdlac[[#This Row],[iAMI]])),"")</f>
        <v/>
      </c>
      <c r="P38" s="846" t="str" cm="1">
        <f t="array" ref="P38">IF(Cdlac[[#This Row],[Quantity]]&gt;0,INDEX(TcacRents,$P$18,Cdlac[[#This Row],[Bedrooms]]+1)*Cdlac[[#This Row],[AMI]],"")</f>
        <v/>
      </c>
      <c r="Q38" s="943"/>
      <c r="R38" s="846" t="str" cm="1">
        <f t="array" ref="R38">IF(Cdlac[[#This Row],[Quantity]]&gt;0,INDEX(HudFmrs,$P$18,Cdlac[[#This Row],[Bedrooms]]+1),"")</f>
        <v/>
      </c>
      <c r="S38" s="846" t="str">
        <f>IF(Cdlac[[#This Row],[Quantity]]&gt;0,MAX(0,Cdlac[[#This Row],[Fair Market Rent]]-IF(AND($G$37,$G$38,$G$38&lt;&gt;"",NOT(Cdlac[[#This Row],[Federal]]),Cdlac[[#This Row],[Preservation Rent]]&lt;&gt;""),Cdlac[[#This Row],[Preservation Rent]],Cdlac[[#This Row],[Restricted Rent]])),"")</f>
        <v/>
      </c>
      <c r="T38" s="825" t="str">
        <f>IF(Cdlac[[#This Row],[Quantity]]&gt;0,AND(Application!AK736&lt;&gt;"N/A",Application!AK736&lt;&gt;"")*Cdlac[[#This Row],[Quantity]],"")</f>
        <v/>
      </c>
      <c r="U38" s="825" t="b">
        <f>AND('Subsidy Contract Calculation'!F22&gt;0,OR('Subsidy Contract Calculation'!C22="Federal",'Subsidy Contract Calculation'!C22="Local - Approved by ED"),Cdlac[[#This Row],[Quantity]]&gt;0)</f>
        <v>0</v>
      </c>
    </row>
    <row r="39" spans="1:21" ht="15" customHeight="1">
      <c r="C39" s="2589" t="str">
        <f>IF(AND(G37,G38,G38&lt;&gt;""),"Enter the average rent charged for each unit type over the last three years, as documented with rent rolls or property audits, in cells Q20:Q44","")</f>
        <v/>
      </c>
      <c r="D39" s="2589"/>
      <c r="E39" s="2589"/>
      <c r="F39" s="2589"/>
      <c r="G39" s="2589"/>
      <c r="H39" s="2589"/>
      <c r="L39" s="825" t="str">
        <f>IFERROR(MIN(4,MATCH(Application!B737,UnitSizes,0)-1),"")</f>
        <v/>
      </c>
      <c r="M39" s="846">
        <f>Application!G737</f>
        <v>0</v>
      </c>
      <c r="N39" s="852">
        <f>Application!AC737</f>
        <v>0</v>
      </c>
      <c r="O39" s="852" t="str">
        <f>IF(Cdlac[[#This Row],[Quantity]]&gt;0,IF(Cdlac[[#This Row],[Federal]],30%,IF(AND(OR(NOT($G$38),$G$38=""),$G$43),40%,Cdlac[[#This Row],[iAMI]])),"")</f>
        <v/>
      </c>
      <c r="P39" s="846" t="str" cm="1">
        <f t="array" ref="P39">IF(Cdlac[[#This Row],[Quantity]]&gt;0,INDEX(TcacRents,$P$18,Cdlac[[#This Row],[Bedrooms]]+1)*Cdlac[[#This Row],[AMI]],"")</f>
        <v/>
      </c>
      <c r="Q39" s="943"/>
      <c r="R39" s="846" t="str" cm="1">
        <f t="array" ref="R39">IF(Cdlac[[#This Row],[Quantity]]&gt;0,INDEX(HudFmrs,$P$18,Cdlac[[#This Row],[Bedrooms]]+1),"")</f>
        <v/>
      </c>
      <c r="S39" s="846" t="str">
        <f>IF(Cdlac[[#This Row],[Quantity]]&gt;0,MAX(0,Cdlac[[#This Row],[Fair Market Rent]]-IF(AND($G$37,$G$38,$G$38&lt;&gt;"",NOT(Cdlac[[#This Row],[Federal]]),Cdlac[[#This Row],[Preservation Rent]]&lt;&gt;""),Cdlac[[#This Row],[Preservation Rent]],Cdlac[[#This Row],[Restricted Rent]])),"")</f>
        <v/>
      </c>
      <c r="T39" s="825" t="str">
        <f>IF(Cdlac[[#This Row],[Quantity]]&gt;0,AND(Application!AK737&lt;&gt;"N/A",Application!AK737&lt;&gt;"")*Cdlac[[#This Row],[Quantity]],"")</f>
        <v/>
      </c>
      <c r="U39" s="825" t="b">
        <f>AND('Subsidy Contract Calculation'!F23&gt;0,OR('Subsidy Contract Calculation'!C23="Federal",'Subsidy Contract Calculation'!C23="Local - Approved by ED"),Cdlac[[#This Row],[Quantity]]&gt;0)</f>
        <v>0</v>
      </c>
    </row>
    <row r="40" spans="1:21" ht="15" customHeight="1">
      <c r="C40" s="2589"/>
      <c r="D40" s="2589"/>
      <c r="E40" s="2589"/>
      <c r="F40" s="2589"/>
      <c r="G40" s="2589"/>
      <c r="H40" s="2589"/>
      <c r="L40" s="825" t="str">
        <f>IFERROR(MIN(4,MATCH(Application!B738,UnitSizes,0)-1),"")</f>
        <v/>
      </c>
      <c r="M40" s="846">
        <f>Application!G738</f>
        <v>0</v>
      </c>
      <c r="N40" s="852">
        <f>Application!AC738</f>
        <v>0</v>
      </c>
      <c r="O40" s="852" t="str">
        <f>IF(Cdlac[[#This Row],[Quantity]]&gt;0,IF(Cdlac[[#This Row],[Federal]],30%,IF(AND(OR(NOT($G$38),$G$38=""),$G$43),40%,Cdlac[[#This Row],[iAMI]])),"")</f>
        <v/>
      </c>
      <c r="P40" s="846" t="str" cm="1">
        <f t="array" ref="P40">IF(Cdlac[[#This Row],[Quantity]]&gt;0,INDEX(TcacRents,$P$18,Cdlac[[#This Row],[Bedrooms]]+1)*Cdlac[[#This Row],[AMI]],"")</f>
        <v/>
      </c>
      <c r="Q40" s="943"/>
      <c r="R40" s="846" t="str" cm="1">
        <f t="array" ref="R40">IF(Cdlac[[#This Row],[Quantity]]&gt;0,INDEX(HudFmrs,$P$18,Cdlac[[#This Row],[Bedrooms]]+1),"")</f>
        <v/>
      </c>
      <c r="S40" s="846" t="str">
        <f>IF(Cdlac[[#This Row],[Quantity]]&gt;0,MAX(0,Cdlac[[#This Row],[Fair Market Rent]]-IF(AND($G$37,$G$38,$G$38&lt;&gt;"",NOT(Cdlac[[#This Row],[Federal]]),Cdlac[[#This Row],[Preservation Rent]]&lt;&gt;""),Cdlac[[#This Row],[Preservation Rent]],Cdlac[[#This Row],[Restricted Rent]])),"")</f>
        <v/>
      </c>
      <c r="T40" s="825" t="str">
        <f>IF(Cdlac[[#This Row],[Quantity]]&gt;0,AND(Application!AK738&lt;&gt;"N/A",Application!AK738&lt;&gt;"")*Cdlac[[#This Row],[Quantity]],"")</f>
        <v/>
      </c>
      <c r="U40" s="825" t="b">
        <f>AND('Subsidy Contract Calculation'!F24&gt;0,OR('Subsidy Contract Calculation'!C24="Federal",'Subsidy Contract Calculation'!C24="Local - Approved by ED"),Cdlac[[#This Row],[Quantity]]&gt;0)</f>
        <v>0</v>
      </c>
    </row>
    <row r="41" spans="1:21" ht="15" customHeight="1">
      <c r="C41" s="2589"/>
      <c r="D41" s="2589"/>
      <c r="E41" s="2589"/>
      <c r="F41" s="2589"/>
      <c r="G41" s="2589"/>
      <c r="H41" s="2589"/>
      <c r="L41" s="825" t="str">
        <f>IFERROR(MIN(4,MATCH(Application!B739,UnitSizes,0)-1),"")</f>
        <v/>
      </c>
      <c r="M41" s="846">
        <f>Application!G739</f>
        <v>0</v>
      </c>
      <c r="N41" s="852">
        <f>Application!AC739</f>
        <v>0</v>
      </c>
      <c r="O41" s="852" t="str">
        <f>IF(Cdlac[[#This Row],[Quantity]]&gt;0,IF(Cdlac[[#This Row],[Federal]],30%,IF(AND(OR(NOT($G$38),$G$38=""),$G$43),40%,Cdlac[[#This Row],[iAMI]])),"")</f>
        <v/>
      </c>
      <c r="P41" s="846" t="str" cm="1">
        <f t="array" ref="P41">IF(Cdlac[[#This Row],[Quantity]]&gt;0,INDEX(TcacRents,$P$18,Cdlac[[#This Row],[Bedrooms]]+1)*Cdlac[[#This Row],[AMI]],"")</f>
        <v/>
      </c>
      <c r="Q41" s="943"/>
      <c r="R41" s="846" t="str" cm="1">
        <f t="array" ref="R41">IF(Cdlac[[#This Row],[Quantity]]&gt;0,INDEX(HudFmrs,$P$18,Cdlac[[#This Row],[Bedrooms]]+1),"")</f>
        <v/>
      </c>
      <c r="S41" s="846" t="str">
        <f>IF(Cdlac[[#This Row],[Quantity]]&gt;0,MAX(0,Cdlac[[#This Row],[Fair Market Rent]]-IF(AND($G$37,$G$38,$G$38&lt;&gt;"",NOT(Cdlac[[#This Row],[Federal]]),Cdlac[[#This Row],[Preservation Rent]]&lt;&gt;""),Cdlac[[#This Row],[Preservation Rent]],Cdlac[[#This Row],[Restricted Rent]])),"")</f>
        <v/>
      </c>
      <c r="T41" s="825" t="str">
        <f>IF(Cdlac[[#This Row],[Quantity]]&gt;0,AND(Application!AK739&lt;&gt;"N/A",Application!AK739&lt;&gt;"")*Cdlac[[#This Row],[Quantity]],"")</f>
        <v/>
      </c>
      <c r="U41" s="825" t="b">
        <f>AND('Subsidy Contract Calculation'!F25&gt;0,OR('Subsidy Contract Calculation'!C25="Federal",'Subsidy Contract Calculation'!C25="Local - Approved by ED"),Cdlac[[#This Row],[Quantity]]&gt;0)</f>
        <v>0</v>
      </c>
    </row>
    <row r="42" spans="1:21" ht="15" customHeight="1">
      <c r="E42" s="866" t="s">
        <v>2637</v>
      </c>
      <c r="G42" s="901" cm="1">
        <f t="array" ref="G42">SUMPRODUCT(Cdlac[Quantity],Cdlac[iAMI],IF(Cdlac[Federal],0,1))/SUMIFS(Cdlac[Quantity],Cdlac[Federal],FALSE)</f>
        <v>0.48607594936708859</v>
      </c>
      <c r="L42" s="825" t="str">
        <f>IFERROR(MIN(4,MATCH(Application!B740,UnitSizes,0)-1),"")</f>
        <v/>
      </c>
      <c r="M42" s="846">
        <f>Application!G740</f>
        <v>0</v>
      </c>
      <c r="N42" s="852">
        <f>Application!AC740</f>
        <v>0</v>
      </c>
      <c r="O42" s="852" t="str">
        <f>IF(Cdlac[[#This Row],[Quantity]]&gt;0,IF(Cdlac[[#This Row],[Federal]],30%,IF(AND(OR(NOT($G$38),$G$38=""),$G$43),40%,Cdlac[[#This Row],[iAMI]])),"")</f>
        <v/>
      </c>
      <c r="P42" s="846" t="str" cm="1">
        <f t="array" ref="P42">IF(Cdlac[[#This Row],[Quantity]]&gt;0,INDEX(TcacRents,$P$18,Cdlac[[#This Row],[Bedrooms]]+1)*Cdlac[[#This Row],[AMI]],"")</f>
        <v/>
      </c>
      <c r="Q42" s="943"/>
      <c r="R42" s="846" t="str" cm="1">
        <f t="array" ref="R42">IF(Cdlac[[#This Row],[Quantity]]&gt;0,INDEX(HudFmrs,$P$18,Cdlac[[#This Row],[Bedrooms]]+1),"")</f>
        <v/>
      </c>
      <c r="S42" s="846" t="str">
        <f>IF(Cdlac[[#This Row],[Quantity]]&gt;0,MAX(0,Cdlac[[#This Row],[Fair Market Rent]]-IF(AND($G$37,$G$38,$G$38&lt;&gt;"",NOT(Cdlac[[#This Row],[Federal]]),Cdlac[[#This Row],[Preservation Rent]]&lt;&gt;""),Cdlac[[#This Row],[Preservation Rent]],Cdlac[[#This Row],[Restricted Rent]])),"")</f>
        <v/>
      </c>
      <c r="T42" s="825" t="str">
        <f>IF(Cdlac[[#This Row],[Quantity]]&gt;0,AND(Application!AK740&lt;&gt;"N/A",Application!AK740&lt;&gt;"")*Cdlac[[#This Row],[Quantity]],"")</f>
        <v/>
      </c>
      <c r="U42" s="825" t="b">
        <f>AND('Subsidy Contract Calculation'!F26&gt;0,OR('Subsidy Contract Calculation'!C26="Federal",'Subsidy Contract Calculation'!C26="Local - Approved by ED"),Cdlac[[#This Row],[Quantity]]&gt;0)</f>
        <v>0</v>
      </c>
    </row>
    <row r="43" spans="1:21" ht="15" customHeight="1">
      <c r="E43" s="866" t="s">
        <v>2638</v>
      </c>
      <c r="G43" s="862" t="b">
        <f>G42&lt;40%</f>
        <v>0</v>
      </c>
      <c r="L43" s="825" t="str">
        <f>IFERROR(MIN(4,MATCH(Application!B741,UnitSizes,0)-1),"")</f>
        <v/>
      </c>
      <c r="M43" s="846">
        <f>Application!G741</f>
        <v>0</v>
      </c>
      <c r="N43" s="852">
        <f>Application!AC741</f>
        <v>0</v>
      </c>
      <c r="O43" s="852" t="str">
        <f>IF(Cdlac[[#This Row],[Quantity]]&gt;0,IF(Cdlac[[#This Row],[Federal]],30%,IF(AND(OR(NOT($G$38),$G$38=""),$G$43),40%,Cdlac[[#This Row],[iAMI]])),"")</f>
        <v/>
      </c>
      <c r="P43" s="846" t="str" cm="1">
        <f t="array" ref="P43">IF(Cdlac[[#This Row],[Quantity]]&gt;0,INDEX(TcacRents,$P$18,Cdlac[[#This Row],[Bedrooms]]+1)*Cdlac[[#This Row],[AMI]],"")</f>
        <v/>
      </c>
      <c r="Q43" s="943"/>
      <c r="R43" s="846" t="str" cm="1">
        <f t="array" ref="R43">IF(Cdlac[[#This Row],[Quantity]]&gt;0,INDEX(HudFmrs,$P$18,Cdlac[[#This Row],[Bedrooms]]+1),"")</f>
        <v/>
      </c>
      <c r="S43" s="846" t="str">
        <f>IF(Cdlac[[#This Row],[Quantity]]&gt;0,MAX(0,Cdlac[[#This Row],[Fair Market Rent]]-IF(AND($G$37,$G$38,$G$38&lt;&gt;"",NOT(Cdlac[[#This Row],[Federal]]),Cdlac[[#This Row],[Preservation Rent]]&lt;&gt;""),Cdlac[[#This Row],[Preservation Rent]],Cdlac[[#This Row],[Restricted Rent]])),"")</f>
        <v/>
      </c>
      <c r="T43" s="825" t="str">
        <f>IF(Cdlac[[#This Row],[Quantity]]&gt;0,AND(Application!AK741&lt;&gt;"N/A",Application!AK741&lt;&gt;"")*Cdlac[[#This Row],[Quantity]],"")</f>
        <v/>
      </c>
      <c r="U43" s="825" t="b">
        <f>AND('Subsidy Contract Calculation'!F27&gt;0,OR('Subsidy Contract Calculation'!C27="Federal",'Subsidy Contract Calculation'!C27="Local - Approved by ED"),Cdlac[[#This Row],[Quantity]]&gt;0)</f>
        <v>0</v>
      </c>
    </row>
    <row r="44" spans="1:21" ht="15" customHeight="1">
      <c r="L44" s="825" t="str">
        <f>IFERROR(MIN(4,MATCH(Application!B752,UnitSizes,0)-1),"")</f>
        <v/>
      </c>
      <c r="M44" s="846">
        <f>Application!G752</f>
        <v>0</v>
      </c>
      <c r="N44" s="852">
        <f>Application!AC752</f>
        <v>0</v>
      </c>
      <c r="O44" s="863" t="str">
        <f>IF(Cdlac[[#This Row],[Quantity]]&gt;0,IF(Cdlac[[#This Row],[Federal]],30%,IF(AND(OR(NOT($G$38),$G$38=""),$G$43),40%,Cdlac[[#This Row],[iAMI]])),"")</f>
        <v/>
      </c>
      <c r="P44" s="846" t="str" cm="1">
        <f t="array" ref="P44">IF(Cdlac[[#This Row],[Quantity]]&gt;0,INDEX(TcacRents,$P$18,Cdlac[[#This Row],[Bedrooms]]+1)*Cdlac[[#This Row],[AMI]],"")</f>
        <v/>
      </c>
      <c r="Q44" s="943"/>
      <c r="R44" s="846" t="str" cm="1">
        <f t="array" ref="R44">IF(Cdlac[[#This Row],[Quantity]]&gt;0,INDEX(HudFmrs,$P$18,Cdlac[[#This Row],[Bedrooms]]+1),"")</f>
        <v/>
      </c>
      <c r="S44" s="846" t="str">
        <f>IF(Cdlac[[#This Row],[Quantity]]&gt;0,MAX(0,Cdlac[[#This Row],[Fair Market Rent]]-IF(AND($G$37,$G$38,$G$38&lt;&gt;"",NOT(Cdlac[[#This Row],[Federal]]),Cdlac[[#This Row],[Preservation Rent]]&lt;&gt;""),Cdlac[[#This Row],[Preservation Rent]],Cdlac[[#This Row],[Restricted Rent]])),"")</f>
        <v/>
      </c>
      <c r="T44" s="825" t="str">
        <f>IF(Cdlac[[#This Row],[Quantity]]&gt;0,AND(Application!AK752&lt;&gt;"N/A",Application!AK752&lt;&gt;"")*Cdlac[[#This Row],[Quantity]],"")</f>
        <v/>
      </c>
      <c r="U44" s="825" t="b">
        <f>AND('Subsidy Contract Calculation'!F28&gt;0,OR('Subsidy Contract Calculation'!C28="Federal",'Subsidy Contract Calculation'!C28="Local - Approved by ED"),Cdlac[[#This Row],[Quantity]]&gt;0)</f>
        <v>0</v>
      </c>
    </row>
    <row r="45" spans="1:21" ht="15" customHeight="1">
      <c r="E45" s="866" t="s">
        <v>2639</v>
      </c>
      <c r="G45" s="859">
        <f>IFERROR(SUMPRODUCT(Cdlac[Quantity],Cdlac[Delta]),0)</f>
        <v>21127</v>
      </c>
    </row>
    <row r="46" spans="1:21" ht="15" customHeight="1">
      <c r="E46" s="898" t="s">
        <v>2640</v>
      </c>
      <c r="F46" s="894" t="s">
        <v>2633</v>
      </c>
      <c r="G46" s="902">
        <f>12*15</f>
        <v>180</v>
      </c>
    </row>
    <row r="47" spans="1:21" ht="15" customHeight="1">
      <c r="E47" s="903" t="s">
        <v>2641</v>
      </c>
      <c r="F47" s="827"/>
      <c r="G47" s="904">
        <f>G45*G46</f>
        <v>3802860</v>
      </c>
    </row>
    <row r="48" spans="1:21" ht="15" customHeight="1"/>
    <row r="49" spans="2:9" ht="15" customHeight="1">
      <c r="B49" s="847" t="str">
        <f>B11&amp;": "&amp;B12</f>
        <v>C. Population Benefit: (1) Special Needs Population Benefit</v>
      </c>
      <c r="C49" s="848"/>
      <c r="D49" s="848"/>
      <c r="E49" s="848"/>
      <c r="F49" s="848"/>
      <c r="G49" s="848"/>
      <c r="H49" s="848"/>
      <c r="I49" s="849"/>
    </row>
    <row r="50" spans="2:9" ht="15" customHeight="1"/>
    <row r="51" spans="2:9" ht="15" customHeight="1">
      <c r="E51" s="898" t="s">
        <v>2642</v>
      </c>
      <c r="G51" s="895">
        <f>T18</f>
        <v>24</v>
      </c>
    </row>
    <row r="52" spans="2:9" ht="15" customHeight="1">
      <c r="E52" s="898" t="s">
        <v>2643</v>
      </c>
      <c r="G52" s="895">
        <f>ROUNDDOWN(E29*50%,0)</f>
        <v>39</v>
      </c>
    </row>
    <row r="53" spans="2:9" ht="15" customHeight="1">
      <c r="E53" s="898"/>
      <c r="G53" s="906"/>
    </row>
    <row r="54" spans="2:9" ht="15" customHeight="1">
      <c r="E54" s="898" t="s">
        <v>2644</v>
      </c>
      <c r="G54" s="895">
        <f>MIN(G51:G52)</f>
        <v>24</v>
      </c>
    </row>
    <row r="55" spans="2:9" ht="15" customHeight="1">
      <c r="E55" s="898" t="s">
        <v>2632</v>
      </c>
      <c r="F55" s="894" t="s">
        <v>2633</v>
      </c>
      <c r="G55" s="905">
        <v>10000</v>
      </c>
    </row>
    <row r="56" spans="2:9" ht="15" customHeight="1">
      <c r="E56" s="899" t="s">
        <v>2645</v>
      </c>
      <c r="F56" s="827"/>
      <c r="G56" s="904">
        <f>G54*G55</f>
        <v>240000</v>
      </c>
    </row>
    <row r="57" spans="2:9" ht="15" customHeight="1"/>
    <row r="58" spans="2:9" ht="15" customHeight="1">
      <c r="B58" s="847" t="str">
        <f>B11&amp;": "&amp;B13</f>
        <v>C. Population Benefit: (2) Extremely Low Income Benefit</v>
      </c>
      <c r="C58" s="848"/>
      <c r="D58" s="848"/>
      <c r="E58" s="848"/>
      <c r="F58" s="848"/>
      <c r="G58" s="848"/>
      <c r="H58" s="848"/>
      <c r="I58" s="849"/>
    </row>
    <row r="59" spans="2:9" ht="15" customHeight="1"/>
    <row r="60" spans="2:9" ht="15" customHeight="1">
      <c r="E60" s="898" t="s">
        <v>2646</v>
      </c>
      <c r="G60" s="860">
        <f>SUMIFS(Cdlac[Quantity],Cdlac[iAMI],"&lt;=30%")</f>
        <v>24</v>
      </c>
    </row>
    <row r="61" spans="2:9" ht="15" customHeight="1">
      <c r="E61" s="898" t="s">
        <v>2643</v>
      </c>
      <c r="G61" s="860">
        <f>ROUNDDOWN(E29*50%,0)</f>
        <v>39</v>
      </c>
    </row>
    <row r="62" spans="2:9" ht="15" customHeight="1">
      <c r="E62" s="898"/>
      <c r="G62" s="860"/>
    </row>
    <row r="63" spans="2:9" ht="15" customHeight="1">
      <c r="E63" s="898" t="s">
        <v>2644</v>
      </c>
      <c r="G63" s="895">
        <f>MIN(G60:G61)</f>
        <v>24</v>
      </c>
    </row>
    <row r="64" spans="2:9" ht="15" customHeight="1">
      <c r="E64" s="898" t="s">
        <v>2632</v>
      </c>
      <c r="F64" s="894" t="s">
        <v>2633</v>
      </c>
      <c r="G64" s="905">
        <v>20000</v>
      </c>
    </row>
    <row r="65" spans="2:14" ht="15" customHeight="1">
      <c r="E65" s="899" t="s">
        <v>2647</v>
      </c>
      <c r="F65" s="827"/>
      <c r="G65" s="904">
        <f>G63*G64</f>
        <v>480000</v>
      </c>
    </row>
    <row r="66" spans="2:14" ht="15" customHeight="1"/>
    <row r="67" spans="2:14" ht="15" customHeight="1">
      <c r="B67" s="847" t="str">
        <f>B14&amp;": "&amp;B15</f>
        <v>D. Location Benefit: (1) Resource Area Benefit</v>
      </c>
      <c r="C67" s="848"/>
      <c r="D67" s="848"/>
      <c r="E67" s="848"/>
      <c r="F67" s="848"/>
      <c r="G67" s="848"/>
      <c r="H67" s="848"/>
      <c r="I67" s="849"/>
    </row>
    <row r="68" spans="2:14" ht="15" customHeight="1"/>
    <row r="69" spans="2:14" ht="15" customHeight="1">
      <c r="C69" s="858" t="s">
        <v>2648</v>
      </c>
      <c r="G69" s="824" t="s">
        <v>847</v>
      </c>
    </row>
    <row r="70" spans="2:14" ht="15" customHeight="1">
      <c r="C70" s="858" t="s">
        <v>2649</v>
      </c>
      <c r="G70" s="862" t="str">
        <f>IF(Application!D211="Large Family","Yes","No")</f>
        <v>No</v>
      </c>
    </row>
    <row r="71" spans="2:14" ht="15" customHeight="1" thickBot="1">
      <c r="C71" s="858" t="s">
        <v>2650</v>
      </c>
      <c r="G71" s="824" t="s">
        <v>695</v>
      </c>
    </row>
    <row r="72" spans="2:14" ht="15" customHeight="1">
      <c r="C72" s="858" t="s">
        <v>2651</v>
      </c>
      <c r="G72" s="825" t="str">
        <f>Application!T193</f>
        <v>Low Resource</v>
      </c>
      <c r="L72" s="2597" t="s">
        <v>881</v>
      </c>
      <c r="M72" s="2598"/>
      <c r="N72" s="912">
        <v>30000</v>
      </c>
    </row>
    <row r="73" spans="2:14" ht="15" customHeight="1">
      <c r="C73" s="2599" t="s">
        <v>2652</v>
      </c>
      <c r="D73" s="2599"/>
      <c r="E73" s="2599"/>
      <c r="F73" s="2599"/>
      <c r="G73" s="824"/>
      <c r="L73" s="2608" t="s">
        <v>885</v>
      </c>
      <c r="M73" s="2609"/>
      <c r="N73" s="913">
        <v>20000</v>
      </c>
    </row>
    <row r="74" spans="2:14" ht="15" customHeight="1" thickBot="1">
      <c r="C74" s="2599"/>
      <c r="D74" s="2599"/>
      <c r="E74" s="2599"/>
      <c r="F74" s="2599"/>
      <c r="L74" s="2610" t="s">
        <v>892</v>
      </c>
      <c r="M74" s="2611"/>
      <c r="N74" s="914">
        <v>10000</v>
      </c>
    </row>
    <row r="75" spans="2:14" ht="15" customHeight="1">
      <c r="C75" s="858"/>
    </row>
    <row r="76" spans="2:14" ht="15" customHeight="1">
      <c r="E76" s="866" t="s">
        <v>2653</v>
      </c>
      <c r="G76" s="860" t="b">
        <f>OR(AND(COUNTIFS(G70:G71,"Yes")&gt;=1,G69="Yes"),G73="Yes")</f>
        <v>0</v>
      </c>
    </row>
    <row r="77" spans="2:14" ht="15" customHeight="1">
      <c r="E77" s="866"/>
      <c r="G77" s="860"/>
    </row>
    <row r="78" spans="2:14" ht="15" customHeight="1">
      <c r="E78" s="866" t="s">
        <v>2632</v>
      </c>
      <c r="G78" s="859">
        <f>IFERROR(IF($G$73="Yes",30000,INDEX(N72:N74,MATCH(LEFT(G72,17),L72:L74,0))),0)</f>
        <v>0</v>
      </c>
    </row>
    <row r="79" spans="2:14" ht="15" customHeight="1">
      <c r="E79" s="866" t="str">
        <f>E96</f>
        <v>Bedroom-Adjusted Low-Income Units</v>
      </c>
      <c r="F79" s="894" t="s">
        <v>2633</v>
      </c>
      <c r="G79" s="895">
        <f>G29</f>
        <v>82.75</v>
      </c>
    </row>
    <row r="80" spans="2:14" ht="15" customHeight="1">
      <c r="D80" s="827"/>
      <c r="E80" s="899" t="s">
        <v>2654</v>
      </c>
      <c r="F80" s="827"/>
      <c r="G80" s="904">
        <f>G79*G78*G76</f>
        <v>0</v>
      </c>
    </row>
    <row r="81" spans="2:9" ht="15" customHeight="1"/>
    <row r="82" spans="2:9" ht="15" customHeight="1">
      <c r="B82" s="847" t="str">
        <f>B14&amp;": "&amp;B16</f>
        <v>D. Location Benefit: (2) Community Revitalization Benefit</v>
      </c>
      <c r="C82" s="848"/>
      <c r="D82" s="848"/>
      <c r="E82" s="848"/>
      <c r="F82" s="848"/>
      <c r="G82" s="848"/>
      <c r="H82" s="848"/>
      <c r="I82" s="849"/>
    </row>
    <row r="83" spans="2:9" ht="15" customHeight="1"/>
    <row r="84" spans="2:9" ht="15" customHeight="1">
      <c r="F84" s="897" t="s">
        <v>2655</v>
      </c>
      <c r="G84" s="824"/>
    </row>
    <row r="85" spans="2:9" ht="15" customHeight="1">
      <c r="F85" s="897"/>
    </row>
    <row r="86" spans="2:9" ht="15" customHeight="1">
      <c r="E86" s="866" t="s">
        <v>2653</v>
      </c>
      <c r="G86" s="860" t="b">
        <f>G84="Yes"</f>
        <v>0</v>
      </c>
    </row>
    <row r="87" spans="2:9" ht="15" customHeight="1"/>
    <row r="88" spans="2:9" ht="15" customHeight="1">
      <c r="E88" s="866" t="str">
        <f>E96</f>
        <v>Bedroom-Adjusted Low-Income Units</v>
      </c>
      <c r="G88" s="895">
        <f>G29</f>
        <v>82.75</v>
      </c>
    </row>
    <row r="89" spans="2:9" ht="15" customHeight="1">
      <c r="E89" s="866" t="s">
        <v>2632</v>
      </c>
      <c r="F89" s="894" t="s">
        <v>2633</v>
      </c>
      <c r="G89" s="831">
        <v>20000</v>
      </c>
    </row>
    <row r="90" spans="2:9" ht="15" customHeight="1">
      <c r="E90" s="899" t="s">
        <v>2656</v>
      </c>
      <c r="F90" s="827"/>
      <c r="G90" s="904">
        <f>G86*G89*G88</f>
        <v>0</v>
      </c>
    </row>
    <row r="91" spans="2:9" ht="15" customHeight="1"/>
    <row r="92" spans="2:9" ht="15" customHeight="1">
      <c r="B92" s="847" t="str">
        <f>B14&amp;": "&amp;B17</f>
        <v>D. Location Benefit: (3) Transit/Walkability Benefit</v>
      </c>
      <c r="C92" s="848"/>
      <c r="D92" s="848"/>
      <c r="E92" s="848"/>
      <c r="F92" s="848"/>
      <c r="G92" s="848"/>
      <c r="H92" s="848"/>
      <c r="I92" s="849"/>
    </row>
    <row r="93" spans="2:9" ht="15" customHeight="1"/>
    <row r="94" spans="2:9" ht="15" customHeight="1">
      <c r="E94" s="866" t="s">
        <v>2657</v>
      </c>
      <c r="G94" s="895">
        <f>VLOOKUP('Points System'!$H$606,'Points System'!$AO$586:$AP$591,2,FALSE)</f>
        <v>4</v>
      </c>
    </row>
    <row r="95" spans="2:9" ht="15" customHeight="1">
      <c r="E95" s="866" t="s">
        <v>2632</v>
      </c>
      <c r="F95" s="894" t="s">
        <v>2633</v>
      </c>
      <c r="G95" s="857">
        <v>4000</v>
      </c>
    </row>
    <row r="96" spans="2:9" ht="15" customHeight="1" thickBot="1">
      <c r="E96" s="866" t="s">
        <v>2658</v>
      </c>
      <c r="F96" s="894" t="s">
        <v>2633</v>
      </c>
      <c r="G96" s="907">
        <f>G29</f>
        <v>82.75</v>
      </c>
    </row>
    <row r="97" spans="2:14" ht="15" customHeight="1">
      <c r="E97" s="899" t="s">
        <v>2659</v>
      </c>
      <c r="F97" s="827"/>
      <c r="G97" s="904">
        <f>G94*G95*G96</f>
        <v>1324000</v>
      </c>
      <c r="L97" s="908" t="str">
        <f>'Points System'!H638</f>
        <v>(i)</v>
      </c>
      <c r="M97" s="2616" t="s">
        <v>2510</v>
      </c>
      <c r="N97" s="2617"/>
    </row>
    <row r="98" spans="2:14" ht="15" customHeight="1">
      <c r="C98" s="858"/>
      <c r="G98" s="895"/>
      <c r="L98" s="909" t="str">
        <f>'Points System'!H650</f>
        <v>N/A</v>
      </c>
      <c r="M98" s="2612" t="s">
        <v>2660</v>
      </c>
      <c r="N98" s="2613"/>
    </row>
    <row r="99" spans="2:14" ht="15" customHeight="1">
      <c r="E99" s="866" t="s">
        <v>2661</v>
      </c>
      <c r="G99" s="907">
        <f>COUNTIFS(L97:L104,"(i)")</f>
        <v>4</v>
      </c>
      <c r="L99" s="909" t="str">
        <f>'Points System'!H685</f>
        <v>(i)</v>
      </c>
      <c r="M99" s="2612" t="s">
        <v>2662</v>
      </c>
      <c r="N99" s="2613"/>
    </row>
    <row r="100" spans="2:14" ht="15" customHeight="1">
      <c r="E100" s="866" t="s">
        <v>2632</v>
      </c>
      <c r="F100" s="894" t="s">
        <v>2633</v>
      </c>
      <c r="G100" s="905">
        <v>4000</v>
      </c>
      <c r="L100" s="909" t="str">
        <f>IF(OR('Points System'!H709="(ii)",'Points System'!H709="(i)"),"(i)","N/A")</f>
        <v>N/A</v>
      </c>
      <c r="M100" s="2612" t="s">
        <v>2663</v>
      </c>
      <c r="N100" s="2613"/>
    </row>
    <row r="101" spans="2:14" ht="15" customHeight="1">
      <c r="E101" s="899" t="s">
        <v>2664</v>
      </c>
      <c r="F101" s="827"/>
      <c r="G101" s="904">
        <f>G96*G99*G100</f>
        <v>1324000</v>
      </c>
      <c r="L101" s="910" t="str">
        <f>'Points System'!H723</f>
        <v>N/A</v>
      </c>
      <c r="M101" s="2612" t="s">
        <v>2550</v>
      </c>
      <c r="N101" s="2613"/>
    </row>
    <row r="102" spans="2:14" ht="15" customHeight="1">
      <c r="L102" s="909" t="str">
        <f>'Points System'!H735</f>
        <v>N/A</v>
      </c>
      <c r="M102" s="2612" t="s">
        <v>2665</v>
      </c>
      <c r="N102" s="2613"/>
    </row>
    <row r="103" spans="2:14" ht="15" customHeight="1">
      <c r="C103" s="861" t="s">
        <v>2666</v>
      </c>
      <c r="L103" s="909" t="str">
        <f>'Points System'!H751</f>
        <v>(i)</v>
      </c>
      <c r="M103" s="2612" t="s">
        <v>2667</v>
      </c>
      <c r="N103" s="2613"/>
    </row>
    <row r="104" spans="2:14" ht="15" customHeight="1" thickBot="1">
      <c r="C104" s="858" t="s">
        <v>2668</v>
      </c>
      <c r="G104" s="824"/>
      <c r="L104" s="911" t="str">
        <f>'Points System'!H763</f>
        <v>(i)</v>
      </c>
      <c r="M104" s="2614" t="s">
        <v>2554</v>
      </c>
      <c r="N104" s="2615"/>
    </row>
    <row r="105" spans="2:14" ht="15" customHeight="1">
      <c r="C105" s="858" t="s">
        <v>2669</v>
      </c>
      <c r="G105" s="824"/>
    </row>
    <row r="106" spans="2:14" ht="15" customHeight="1">
      <c r="C106" s="858" t="s">
        <v>2670</v>
      </c>
      <c r="G106" s="824"/>
    </row>
    <row r="107" spans="2:14" ht="15" customHeight="1">
      <c r="C107" s="858" t="s">
        <v>2671</v>
      </c>
      <c r="G107" s="824" t="s">
        <v>847</v>
      </c>
    </row>
    <row r="108" spans="2:14" ht="15" customHeight="1"/>
    <row r="109" spans="2:14" ht="15" customHeight="1">
      <c r="B109" s="859"/>
      <c r="C109" s="858"/>
      <c r="E109" s="866" t="s">
        <v>2653</v>
      </c>
      <c r="G109" s="860" t="b">
        <f>COUNTIFS(G104:G107,"Yes")&gt;=1</f>
        <v>1</v>
      </c>
    </row>
    <row r="110" spans="2:14" ht="15" customHeight="1">
      <c r="E110" s="858"/>
    </row>
    <row r="111" spans="2:14" ht="15" customHeight="1">
      <c r="E111" s="866" t="s">
        <v>2658</v>
      </c>
      <c r="F111" s="894" t="s">
        <v>2633</v>
      </c>
      <c r="G111" s="895">
        <f>G29</f>
        <v>82.75</v>
      </c>
    </row>
    <row r="112" spans="2:14" ht="15" customHeight="1">
      <c r="E112" s="866" t="s">
        <v>2632</v>
      </c>
      <c r="F112" s="894" t="s">
        <v>2633</v>
      </c>
      <c r="G112" s="905">
        <v>25000</v>
      </c>
    </row>
    <row r="113" spans="2:9" ht="15" customHeight="1">
      <c r="E113" s="899" t="s">
        <v>2672</v>
      </c>
      <c r="F113" s="827"/>
      <c r="G113" s="904">
        <f>G109*G112*G96</f>
        <v>2068750</v>
      </c>
    </row>
    <row r="114" spans="2:9" ht="15" customHeight="1">
      <c r="C114" s="858"/>
      <c r="E114" s="858"/>
    </row>
    <row r="115" spans="2:9" ht="15" customHeight="1">
      <c r="E115" s="899" t="s">
        <v>2673</v>
      </c>
      <c r="G115" s="904">
        <f>G113+G101+G97</f>
        <v>4716750</v>
      </c>
    </row>
    <row r="116" spans="2:9" ht="15" customHeight="1"/>
    <row r="117" spans="2:9" ht="15" customHeight="1">
      <c r="B117" s="847" t="s">
        <v>1793</v>
      </c>
      <c r="C117" s="848"/>
      <c r="D117" s="848"/>
      <c r="E117" s="848"/>
      <c r="F117" s="848"/>
      <c r="G117" s="848"/>
      <c r="H117" s="848"/>
      <c r="I117" s="849"/>
    </row>
    <row r="118" spans="2:9" ht="15" customHeight="1"/>
    <row r="119" spans="2:9" ht="15" customHeight="1">
      <c r="C119" s="2588" t="s">
        <v>2674</v>
      </c>
      <c r="D119" s="2588"/>
      <c r="E119" s="2588"/>
      <c r="F119" s="2588"/>
    </row>
    <row r="120" spans="2:9" ht="15" customHeight="1">
      <c r="C120" s="2588"/>
      <c r="D120" s="2588"/>
      <c r="E120" s="2588"/>
      <c r="F120" s="2588"/>
      <c r="G120" s="824" t="s">
        <v>847</v>
      </c>
    </row>
    <row r="121" spans="2:9" ht="15" customHeight="1"/>
    <row r="122" spans="2:9" ht="15" customHeight="1">
      <c r="C122" s="825" t="s">
        <v>2675</v>
      </c>
      <c r="G122" s="2590" t="s">
        <v>2676</v>
      </c>
      <c r="H122" s="2590"/>
    </row>
    <row r="123" spans="2:9" ht="15" customHeight="1">
      <c r="G123" s="2590"/>
      <c r="H123" s="2590"/>
    </row>
    <row r="124" spans="2:9" ht="15" customHeight="1">
      <c r="G124" s="2591"/>
      <c r="H124" s="2591"/>
    </row>
    <row r="125" spans="2:9" ht="15" customHeight="1">
      <c r="G125" s="940"/>
      <c r="H125" s="940"/>
    </row>
    <row r="126" spans="2:9" ht="15" customHeight="1">
      <c r="B126" s="847" t="s">
        <v>2677</v>
      </c>
      <c r="C126" s="848"/>
      <c r="D126" s="848"/>
      <c r="E126" s="848"/>
      <c r="F126" s="848"/>
      <c r="G126" s="848"/>
      <c r="H126" s="848"/>
      <c r="I126" s="849"/>
    </row>
    <row r="128" spans="2:9">
      <c r="E128" s="866" t="s">
        <v>933</v>
      </c>
      <c r="G128" s="825" t="str">
        <f>IF(Application!T189="","",Application!T189)</f>
        <v>Tulare</v>
      </c>
    </row>
    <row r="129" spans="2:9">
      <c r="E129" s="866"/>
      <c r="G129" s="859"/>
    </row>
    <row r="130" spans="2:9">
      <c r="E130" s="866" t="str">
        <f>"2-Bedroom "&amp;G128&amp;" County Basis Limit"</f>
        <v>2-Bedroom Tulare County Basis Limit</v>
      </c>
      <c r="G130" s="859">
        <f>Application!R988</f>
        <v>428000</v>
      </c>
    </row>
    <row r="131" spans="2:9">
      <c r="E131" s="866" t="s">
        <v>2678</v>
      </c>
      <c r="G131" s="859">
        <f>MEDIAN((Application!CU160:CU217))</f>
        <v>489600</v>
      </c>
    </row>
    <row r="132" spans="2:9">
      <c r="D132" s="827"/>
      <c r="E132" s="899" t="s">
        <v>2679</v>
      </c>
      <c r="F132" s="915"/>
      <c r="G132" s="916">
        <f>((G130-G131)/G131)*0.25</f>
        <v>-3.1454248366013071E-2</v>
      </c>
      <c r="H132" s="823"/>
      <c r="I132" s="823"/>
    </row>
    <row r="133" spans="2:9">
      <c r="D133" s="826"/>
      <c r="E133" s="826"/>
    </row>
    <row r="134" spans="2:9">
      <c r="B134" s="847" t="s">
        <v>2680</v>
      </c>
      <c r="C134" s="848"/>
      <c r="D134" s="848"/>
      <c r="E134" s="848"/>
      <c r="F134" s="848"/>
      <c r="G134" s="848"/>
      <c r="H134" s="848"/>
      <c r="I134" s="849"/>
    </row>
    <row r="136" spans="2:9">
      <c r="E136" s="866" t="s">
        <v>2635</v>
      </c>
      <c r="G136" s="825" t="b">
        <f>G37</f>
        <v>0</v>
      </c>
    </row>
    <row r="137" spans="2:9">
      <c r="E137" s="866" t="s">
        <v>2681</v>
      </c>
      <c r="G137" s="825" t="b">
        <f>OR('Points System'!B52="Yes", 'Points System'!B56="Yes",'Points System'!B58="Yes")</f>
        <v>0</v>
      </c>
    </row>
    <row r="138" spans="2:9">
      <c r="C138" s="2583" t="s">
        <v>2682</v>
      </c>
      <c r="D138" s="2583"/>
      <c r="E138" s="2583"/>
      <c r="F138" s="2583"/>
    </row>
    <row r="139" spans="2:9">
      <c r="B139" s="826"/>
      <c r="C139" s="2583"/>
      <c r="D139" s="2583"/>
      <c r="E139" s="2583"/>
      <c r="F139" s="2583"/>
      <c r="G139" s="824"/>
    </row>
    <row r="140" spans="2:9">
      <c r="B140" s="826"/>
      <c r="C140" s="826"/>
      <c r="D140" s="826"/>
      <c r="E140" s="826"/>
      <c r="F140" s="826"/>
    </row>
    <row r="141" spans="2:9" ht="14.25" customHeight="1">
      <c r="E141" s="866" t="s">
        <v>2683</v>
      </c>
      <c r="G141" s="948"/>
    </row>
    <row r="143" spans="2:9">
      <c r="E143" s="866" t="s">
        <v>2684</v>
      </c>
      <c r="G143" s="947">
        <f>IF(I9=0,0,G141/I9)</f>
        <v>0</v>
      </c>
    </row>
    <row r="144" spans="2:9">
      <c r="E144" s="866" t="s">
        <v>2685</v>
      </c>
      <c r="G144" s="945">
        <f>I9*0.15</f>
        <v>2985742.65</v>
      </c>
    </row>
  </sheetData>
  <sheetProtection algorithmName="SHA-512" hashValue="4iOPxeodX/xBgxJF8YUc8QkAAVwbPErNgN2yzosEAtCYUAWXp3SL6XJ1RDpW4p+Do1CwdjZKH0CaQIGi8J27pQ==" saltValue="7lvyS2/Berv5MajJrBFo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186" customWidth="1"/>
    <col min="3" max="3" width="11" style="186" customWidth="1"/>
    <col min="4" max="4" width="15.7265625" style="186" customWidth="1"/>
    <col min="5" max="5" width="3.7265625" style="186" customWidth="1"/>
    <col min="6" max="7" width="15.7265625" style="186" customWidth="1"/>
    <col min="8" max="8" width="3.7265625" style="186" customWidth="1"/>
    <col min="9" max="10" width="15.7265625" style="186" customWidth="1"/>
    <col min="11" max="11" width="3.26953125" style="186" customWidth="1"/>
    <col min="12" max="17" width="15.7265625" style="186" customWidth="1"/>
    <col min="18" max="16384" width="9.1796875" style="186"/>
  </cols>
  <sheetData>
    <row r="1" spans="1:12">
      <c r="A1" s="2618" t="s">
        <v>2686</v>
      </c>
      <c r="B1" s="2618"/>
      <c r="C1" s="2618"/>
      <c r="D1" s="2618"/>
      <c r="E1" s="2618"/>
      <c r="F1" s="2618"/>
      <c r="G1" s="2618"/>
      <c r="H1" s="2618"/>
      <c r="I1" s="2618"/>
      <c r="J1" s="2618"/>
      <c r="K1" s="113"/>
      <c r="L1" s="113"/>
    </row>
    <row r="2" spans="1:12">
      <c r="A2" s="117"/>
      <c r="B2" s="117"/>
      <c r="C2" s="117"/>
      <c r="D2" s="117"/>
      <c r="E2" s="117"/>
      <c r="F2" s="117"/>
      <c r="G2" s="117"/>
      <c r="H2" s="117"/>
      <c r="I2" s="117"/>
      <c r="J2" s="117"/>
    </row>
    <row r="3" spans="1:12" ht="84.5">
      <c r="A3" s="295" t="s">
        <v>2687</v>
      </c>
      <c r="B3" s="295" t="s">
        <v>2688</v>
      </c>
      <c r="C3" s="295" t="s">
        <v>2689</v>
      </c>
      <c r="D3" s="926" t="s">
        <v>2690</v>
      </c>
      <c r="E3" s="113"/>
      <c r="F3" s="926" t="s">
        <v>2691</v>
      </c>
      <c r="G3" s="295" t="s">
        <v>2692</v>
      </c>
      <c r="H3" s="296"/>
      <c r="I3" s="295" t="s">
        <v>2693</v>
      </c>
      <c r="J3" s="295" t="s">
        <v>2694</v>
      </c>
      <c r="K3" s="113"/>
      <c r="L3" s="187"/>
    </row>
    <row r="4" spans="1:12">
      <c r="A4" s="297" t="str">
        <f>Application!B718</f>
        <v>1 Bedroom</v>
      </c>
      <c r="B4" s="864">
        <f>Application!G718</f>
        <v>21</v>
      </c>
      <c r="C4" s="941"/>
      <c r="D4" s="297">
        <f>Application!O718</f>
        <v>410</v>
      </c>
      <c r="E4" s="298"/>
      <c r="F4" s="865"/>
      <c r="G4" s="297">
        <f>F4*B4</f>
        <v>0</v>
      </c>
      <c r="H4" s="298"/>
      <c r="I4" s="297" t="str">
        <f t="shared" ref="I4:I27" si="0">IF(F4=0,"",(F4-D4))</f>
        <v/>
      </c>
      <c r="J4" s="297" t="str">
        <f t="shared" ref="J4:J27" si="1">IF(F4=0,"",(I4*B4))</f>
        <v/>
      </c>
      <c r="K4" s="113"/>
      <c r="L4" s="187"/>
    </row>
    <row r="5" spans="1:12">
      <c r="A5" s="297" t="str">
        <f>Application!B719</f>
        <v>2 Bedrooms</v>
      </c>
      <c r="B5" s="864">
        <f>Application!G719</f>
        <v>3</v>
      </c>
      <c r="C5" s="941"/>
      <c r="D5" s="297">
        <f>Application!O719</f>
        <v>469</v>
      </c>
      <c r="E5" s="298"/>
      <c r="F5" s="865"/>
      <c r="G5" s="297">
        <f t="shared" ref="G5:G38" si="2">F5*B5</f>
        <v>0</v>
      </c>
      <c r="H5" s="298"/>
      <c r="I5" s="297" t="str">
        <f t="shared" si="0"/>
        <v/>
      </c>
      <c r="J5" s="297" t="str">
        <f t="shared" si="1"/>
        <v/>
      </c>
      <c r="K5" s="113"/>
      <c r="L5" s="187"/>
    </row>
    <row r="6" spans="1:12">
      <c r="A6" s="297" t="str">
        <f>Application!B720</f>
        <v>1 Bedroom</v>
      </c>
      <c r="B6" s="864">
        <f>Application!G720</f>
        <v>7</v>
      </c>
      <c r="C6" s="941"/>
      <c r="D6" s="297">
        <f>Application!O720</f>
        <v>575</v>
      </c>
      <c r="E6" s="298"/>
      <c r="F6" s="865"/>
      <c r="G6" s="297">
        <f t="shared" si="2"/>
        <v>0</v>
      </c>
      <c r="H6" s="298"/>
      <c r="I6" s="297" t="str">
        <f t="shared" si="0"/>
        <v/>
      </c>
      <c r="J6" s="297" t="str">
        <f t="shared" si="1"/>
        <v/>
      </c>
      <c r="K6" s="113"/>
      <c r="L6" s="187"/>
    </row>
    <row r="7" spans="1:12">
      <c r="A7" s="297" t="str">
        <f>Application!B721</f>
        <v>2 Bedrooms</v>
      </c>
      <c r="B7" s="864">
        <f>Application!G721</f>
        <v>1</v>
      </c>
      <c r="C7" s="941"/>
      <c r="D7" s="297">
        <f>Application!O721</f>
        <v>667</v>
      </c>
      <c r="E7" s="298"/>
      <c r="F7" s="865"/>
      <c r="G7" s="297">
        <f t="shared" si="2"/>
        <v>0</v>
      </c>
      <c r="H7" s="298"/>
      <c r="I7" s="297" t="str">
        <f t="shared" si="0"/>
        <v/>
      </c>
      <c r="J7" s="297" t="str">
        <f t="shared" si="1"/>
        <v/>
      </c>
      <c r="K7" s="113"/>
      <c r="L7" s="187"/>
    </row>
    <row r="8" spans="1:12">
      <c r="A8" s="297" t="str">
        <f>Application!B722</f>
        <v>1 Bedroom</v>
      </c>
      <c r="B8" s="864">
        <f>Application!G722</f>
        <v>28</v>
      </c>
      <c r="C8" s="941"/>
      <c r="D8" s="297">
        <f>Application!O722</f>
        <v>740</v>
      </c>
      <c r="E8" s="298"/>
      <c r="F8" s="865"/>
      <c r="G8" s="297">
        <f t="shared" si="2"/>
        <v>0</v>
      </c>
      <c r="H8" s="298"/>
      <c r="I8" s="297" t="str">
        <f t="shared" si="0"/>
        <v/>
      </c>
      <c r="J8" s="297" t="str">
        <f t="shared" si="1"/>
        <v/>
      </c>
      <c r="K8" s="113"/>
      <c r="L8" s="187"/>
    </row>
    <row r="9" spans="1:12">
      <c r="A9" s="297" t="str">
        <f>Application!B723</f>
        <v>2 Bedrooms</v>
      </c>
      <c r="B9" s="864">
        <f>Application!G723</f>
        <v>4</v>
      </c>
      <c r="C9" s="941"/>
      <c r="D9" s="297">
        <f>Application!O723</f>
        <v>865</v>
      </c>
      <c r="E9" s="298"/>
      <c r="F9" s="865"/>
      <c r="G9" s="297">
        <f t="shared" si="2"/>
        <v>0</v>
      </c>
      <c r="H9" s="298"/>
      <c r="I9" s="297" t="str">
        <f t="shared" si="0"/>
        <v/>
      </c>
      <c r="J9" s="297" t="str">
        <f t="shared" si="1"/>
        <v/>
      </c>
      <c r="K9" s="113"/>
      <c r="L9" s="187"/>
    </row>
    <row r="10" spans="1:12">
      <c r="A10" s="297" t="str">
        <f>Application!B724</f>
        <v>1 Bedroom</v>
      </c>
      <c r="B10" s="864">
        <f>Application!G724</f>
        <v>8</v>
      </c>
      <c r="C10" s="941"/>
      <c r="D10" s="297">
        <f>Application!O724</f>
        <v>1175</v>
      </c>
      <c r="E10" s="298"/>
      <c r="F10" s="865"/>
      <c r="G10" s="297">
        <f t="shared" si="2"/>
        <v>0</v>
      </c>
      <c r="H10" s="298"/>
      <c r="I10" s="297" t="str">
        <f t="shared" si="0"/>
        <v/>
      </c>
      <c r="J10" s="297" t="str">
        <f t="shared" si="1"/>
        <v/>
      </c>
      <c r="K10" s="113"/>
      <c r="L10" s="187"/>
    </row>
    <row r="11" spans="1:12">
      <c r="A11" s="297" t="str">
        <f>Application!B725</f>
        <v>2 Bedrooms</v>
      </c>
      <c r="B11" s="864">
        <f>Application!G725</f>
        <v>7</v>
      </c>
      <c r="C11" s="941"/>
      <c r="D11" s="297">
        <f>Application!O725</f>
        <v>1260</v>
      </c>
      <c r="E11" s="298"/>
      <c r="F11" s="865"/>
      <c r="G11" s="297">
        <f t="shared" si="2"/>
        <v>0</v>
      </c>
      <c r="H11" s="298"/>
      <c r="I11" s="297" t="str">
        <f t="shared" si="0"/>
        <v/>
      </c>
      <c r="J11" s="297" t="str">
        <f t="shared" si="1"/>
        <v/>
      </c>
      <c r="K11" s="113"/>
      <c r="L11" s="187"/>
    </row>
    <row r="12" spans="1:12">
      <c r="A12" s="297">
        <f>Application!B726</f>
        <v>0</v>
      </c>
      <c r="B12" s="864">
        <f>Application!G726</f>
        <v>0</v>
      </c>
      <c r="C12" s="941"/>
      <c r="D12" s="297">
        <f>Application!O726</f>
        <v>0</v>
      </c>
      <c r="E12" s="298"/>
      <c r="F12" s="865"/>
      <c r="G12" s="297">
        <f t="shared" si="2"/>
        <v>0</v>
      </c>
      <c r="H12" s="298"/>
      <c r="I12" s="297" t="str">
        <f t="shared" si="0"/>
        <v/>
      </c>
      <c r="J12" s="297" t="str">
        <f t="shared" si="1"/>
        <v/>
      </c>
      <c r="K12" s="113"/>
      <c r="L12" s="187"/>
    </row>
    <row r="13" spans="1:12">
      <c r="A13" s="297">
        <f>Application!B727</f>
        <v>0</v>
      </c>
      <c r="B13" s="864">
        <f>Application!G727</f>
        <v>0</v>
      </c>
      <c r="C13" s="941"/>
      <c r="D13" s="297">
        <f>Application!O727</f>
        <v>0</v>
      </c>
      <c r="E13" s="298"/>
      <c r="F13" s="865"/>
      <c r="G13" s="297">
        <f t="shared" si="2"/>
        <v>0</v>
      </c>
      <c r="H13" s="298"/>
      <c r="I13" s="297" t="str">
        <f t="shared" si="0"/>
        <v/>
      </c>
      <c r="J13" s="297" t="str">
        <f t="shared" si="1"/>
        <v/>
      </c>
      <c r="K13" s="113"/>
      <c r="L13" s="187"/>
    </row>
    <row r="14" spans="1:12">
      <c r="A14" s="297">
        <f>Application!B728</f>
        <v>0</v>
      </c>
      <c r="B14" s="864">
        <f>Application!G728</f>
        <v>0</v>
      </c>
      <c r="C14" s="941"/>
      <c r="D14" s="297">
        <f>Application!O728</f>
        <v>0</v>
      </c>
      <c r="E14" s="298"/>
      <c r="F14" s="865"/>
      <c r="G14" s="297">
        <f t="shared" si="2"/>
        <v>0</v>
      </c>
      <c r="H14" s="298"/>
      <c r="I14" s="297" t="str">
        <f t="shared" si="0"/>
        <v/>
      </c>
      <c r="J14" s="297" t="str">
        <f t="shared" si="1"/>
        <v/>
      </c>
      <c r="K14" s="113"/>
      <c r="L14" s="187"/>
    </row>
    <row r="15" spans="1:12">
      <c r="A15" s="297">
        <f>Application!B729</f>
        <v>0</v>
      </c>
      <c r="B15" s="864">
        <f>Application!G729</f>
        <v>0</v>
      </c>
      <c r="C15" s="941"/>
      <c r="D15" s="297">
        <f>Application!O729</f>
        <v>0</v>
      </c>
      <c r="E15" s="298"/>
      <c r="F15" s="865"/>
      <c r="G15" s="297">
        <f t="shared" si="2"/>
        <v>0</v>
      </c>
      <c r="H15" s="298"/>
      <c r="I15" s="297" t="str">
        <f t="shared" si="0"/>
        <v/>
      </c>
      <c r="J15" s="297" t="str">
        <f t="shared" si="1"/>
        <v/>
      </c>
      <c r="K15" s="113"/>
      <c r="L15" s="187"/>
    </row>
    <row r="16" spans="1:12">
      <c r="A16" s="297">
        <f>Application!B730</f>
        <v>0</v>
      </c>
      <c r="B16" s="864">
        <f>Application!G730</f>
        <v>0</v>
      </c>
      <c r="C16" s="941"/>
      <c r="D16" s="297">
        <f>Application!O730</f>
        <v>0</v>
      </c>
      <c r="E16" s="298"/>
      <c r="F16" s="865"/>
      <c r="G16" s="297">
        <f t="shared" si="2"/>
        <v>0</v>
      </c>
      <c r="H16" s="298"/>
      <c r="I16" s="297" t="str">
        <f t="shared" si="0"/>
        <v/>
      </c>
      <c r="J16" s="297" t="str">
        <f t="shared" si="1"/>
        <v/>
      </c>
      <c r="K16" s="113"/>
      <c r="L16" s="187"/>
    </row>
    <row r="17" spans="1:12">
      <c r="A17" s="297">
        <f>Application!B731</f>
        <v>0</v>
      </c>
      <c r="B17" s="864">
        <f>Application!G731</f>
        <v>0</v>
      </c>
      <c r="C17" s="941"/>
      <c r="D17" s="297">
        <f>Application!O731</f>
        <v>0</v>
      </c>
      <c r="E17" s="298"/>
      <c r="F17" s="865"/>
      <c r="G17" s="297">
        <f t="shared" si="2"/>
        <v>0</v>
      </c>
      <c r="H17" s="298"/>
      <c r="I17" s="297" t="str">
        <f t="shared" si="0"/>
        <v/>
      </c>
      <c r="J17" s="297" t="str">
        <f t="shared" si="1"/>
        <v/>
      </c>
      <c r="K17" s="113"/>
      <c r="L17" s="187"/>
    </row>
    <row r="18" spans="1:12">
      <c r="A18" s="297">
        <f>Application!B732</f>
        <v>0</v>
      </c>
      <c r="B18" s="864">
        <f>Application!G732</f>
        <v>0</v>
      </c>
      <c r="C18" s="941"/>
      <c r="D18" s="297">
        <f>Application!O732</f>
        <v>0</v>
      </c>
      <c r="E18" s="298"/>
      <c r="F18" s="865"/>
      <c r="G18" s="297">
        <f t="shared" si="2"/>
        <v>0</v>
      </c>
      <c r="H18" s="298"/>
      <c r="I18" s="297" t="str">
        <f t="shared" si="0"/>
        <v/>
      </c>
      <c r="J18" s="297" t="str">
        <f t="shared" si="1"/>
        <v/>
      </c>
      <c r="K18" s="113"/>
      <c r="L18" s="187"/>
    </row>
    <row r="19" spans="1:12">
      <c r="A19" s="297">
        <f>Application!B733</f>
        <v>0</v>
      </c>
      <c r="B19" s="864">
        <f>Application!G733</f>
        <v>0</v>
      </c>
      <c r="C19" s="941"/>
      <c r="D19" s="297">
        <f>Application!O733</f>
        <v>0</v>
      </c>
      <c r="E19" s="298"/>
      <c r="F19" s="865"/>
      <c r="G19" s="297">
        <f t="shared" si="2"/>
        <v>0</v>
      </c>
      <c r="H19" s="298"/>
      <c r="I19" s="297" t="str">
        <f t="shared" si="0"/>
        <v/>
      </c>
      <c r="J19" s="297" t="str">
        <f t="shared" si="1"/>
        <v/>
      </c>
      <c r="K19" s="113"/>
      <c r="L19" s="187"/>
    </row>
    <row r="20" spans="1:12">
      <c r="A20" s="297">
        <f>Application!B734</f>
        <v>0</v>
      </c>
      <c r="B20" s="864">
        <f>Application!G734</f>
        <v>0</v>
      </c>
      <c r="C20" s="941"/>
      <c r="D20" s="297">
        <f>Application!O734</f>
        <v>0</v>
      </c>
      <c r="E20" s="298"/>
      <c r="F20" s="865"/>
      <c r="G20" s="297">
        <f t="shared" si="2"/>
        <v>0</v>
      </c>
      <c r="H20" s="298"/>
      <c r="I20" s="297" t="str">
        <f t="shared" si="0"/>
        <v/>
      </c>
      <c r="J20" s="297" t="str">
        <f t="shared" si="1"/>
        <v/>
      </c>
      <c r="K20" s="113"/>
      <c r="L20" s="187"/>
    </row>
    <row r="21" spans="1:12">
      <c r="A21" s="297">
        <f>Application!B735</f>
        <v>0</v>
      </c>
      <c r="B21" s="864">
        <f>Application!G735</f>
        <v>0</v>
      </c>
      <c r="C21" s="941"/>
      <c r="D21" s="297">
        <f>Application!O735</f>
        <v>0</v>
      </c>
      <c r="E21" s="298"/>
      <c r="F21" s="865"/>
      <c r="G21" s="297">
        <f t="shared" si="2"/>
        <v>0</v>
      </c>
      <c r="H21" s="298"/>
      <c r="I21" s="297" t="str">
        <f t="shared" si="0"/>
        <v/>
      </c>
      <c r="J21" s="297" t="str">
        <f t="shared" si="1"/>
        <v/>
      </c>
      <c r="K21" s="113"/>
      <c r="L21" s="187"/>
    </row>
    <row r="22" spans="1:12">
      <c r="A22" s="297">
        <f>Application!B736</f>
        <v>0</v>
      </c>
      <c r="B22" s="864">
        <f>Application!G736</f>
        <v>0</v>
      </c>
      <c r="C22" s="941"/>
      <c r="D22" s="297">
        <f>Application!O736</f>
        <v>0</v>
      </c>
      <c r="E22" s="298"/>
      <c r="F22" s="865"/>
      <c r="G22" s="297">
        <f t="shared" si="2"/>
        <v>0</v>
      </c>
      <c r="H22" s="298"/>
      <c r="I22" s="297" t="str">
        <f t="shared" si="0"/>
        <v/>
      </c>
      <c r="J22" s="297" t="str">
        <f t="shared" si="1"/>
        <v/>
      </c>
      <c r="K22" s="113"/>
      <c r="L22" s="187"/>
    </row>
    <row r="23" spans="1:12">
      <c r="A23" s="297">
        <f>Application!B737</f>
        <v>0</v>
      </c>
      <c r="B23" s="864">
        <f>Application!G737</f>
        <v>0</v>
      </c>
      <c r="C23" s="941"/>
      <c r="D23" s="297">
        <f>Application!O737</f>
        <v>0</v>
      </c>
      <c r="E23" s="298"/>
      <c r="F23" s="865"/>
      <c r="G23" s="297">
        <f t="shared" si="2"/>
        <v>0</v>
      </c>
      <c r="H23" s="298"/>
      <c r="I23" s="297" t="str">
        <f t="shared" si="0"/>
        <v/>
      </c>
      <c r="J23" s="297" t="str">
        <f t="shared" si="1"/>
        <v/>
      </c>
      <c r="K23" s="113"/>
      <c r="L23" s="187"/>
    </row>
    <row r="24" spans="1:12">
      <c r="A24" s="297">
        <f>Application!B738</f>
        <v>0</v>
      </c>
      <c r="B24" s="864">
        <f>Application!G738</f>
        <v>0</v>
      </c>
      <c r="C24" s="941"/>
      <c r="D24" s="297">
        <f>Application!O738</f>
        <v>0</v>
      </c>
      <c r="E24" s="298"/>
      <c r="F24" s="865"/>
      <c r="G24" s="297">
        <f t="shared" si="2"/>
        <v>0</v>
      </c>
      <c r="H24" s="298"/>
      <c r="I24" s="297" t="str">
        <f t="shared" si="0"/>
        <v/>
      </c>
      <c r="J24" s="297" t="str">
        <f t="shared" si="1"/>
        <v/>
      </c>
      <c r="K24" s="113"/>
      <c r="L24" s="187"/>
    </row>
    <row r="25" spans="1:12">
      <c r="A25" s="297">
        <f>Application!B739</f>
        <v>0</v>
      </c>
      <c r="B25" s="864">
        <f>Application!G739</f>
        <v>0</v>
      </c>
      <c r="C25" s="941"/>
      <c r="D25" s="297">
        <f>Application!O739</f>
        <v>0</v>
      </c>
      <c r="E25" s="298"/>
      <c r="F25" s="865"/>
      <c r="G25" s="297">
        <f t="shared" si="2"/>
        <v>0</v>
      </c>
      <c r="H25" s="298"/>
      <c r="I25" s="297" t="str">
        <f t="shared" si="0"/>
        <v/>
      </c>
      <c r="J25" s="297" t="str">
        <f t="shared" si="1"/>
        <v/>
      </c>
      <c r="K25" s="113"/>
      <c r="L25" s="187"/>
    </row>
    <row r="26" spans="1:12">
      <c r="A26" s="297">
        <f>Application!B740</f>
        <v>0</v>
      </c>
      <c r="B26" s="864">
        <f>Application!G740</f>
        <v>0</v>
      </c>
      <c r="C26" s="941"/>
      <c r="D26" s="297">
        <f>Application!O740</f>
        <v>0</v>
      </c>
      <c r="E26" s="298"/>
      <c r="F26" s="865"/>
      <c r="G26" s="297">
        <f t="shared" si="2"/>
        <v>0</v>
      </c>
      <c r="H26" s="298"/>
      <c r="I26" s="297" t="str">
        <f t="shared" si="0"/>
        <v/>
      </c>
      <c r="J26" s="297" t="str">
        <f t="shared" si="1"/>
        <v/>
      </c>
      <c r="K26" s="113"/>
      <c r="L26" s="187"/>
    </row>
    <row r="27" spans="1:12">
      <c r="A27" s="297">
        <f>Application!B741</f>
        <v>0</v>
      </c>
      <c r="B27" s="864">
        <f>Application!G741</f>
        <v>0</v>
      </c>
      <c r="C27" s="941"/>
      <c r="D27" s="297">
        <f>Application!O741</f>
        <v>0</v>
      </c>
      <c r="E27" s="298"/>
      <c r="F27" s="865"/>
      <c r="G27" s="297">
        <f t="shared" si="2"/>
        <v>0</v>
      </c>
      <c r="H27" s="298"/>
      <c r="I27" s="297" t="str">
        <f t="shared" si="0"/>
        <v/>
      </c>
      <c r="J27" s="297" t="str">
        <f t="shared" si="1"/>
        <v/>
      </c>
      <c r="K27" s="113"/>
      <c r="L27" s="187"/>
    </row>
    <row r="28" spans="1:12">
      <c r="A28" s="297">
        <f>Application!B742</f>
        <v>0</v>
      </c>
      <c r="B28" s="864">
        <f>Application!G742</f>
        <v>0</v>
      </c>
      <c r="C28" s="941"/>
      <c r="D28" s="297">
        <f>Application!O742</f>
        <v>0</v>
      </c>
      <c r="E28" s="298"/>
      <c r="F28" s="865"/>
      <c r="G28" s="297">
        <f t="shared" si="2"/>
        <v>0</v>
      </c>
      <c r="H28" s="298"/>
      <c r="I28" s="297" t="str">
        <f t="shared" ref="I28:I37" si="3">IF(F28=0,"",(F28-D28))</f>
        <v/>
      </c>
      <c r="J28" s="297" t="str">
        <f t="shared" ref="J28:J37" si="4">IF(F28=0,"",(I28*B28))</f>
        <v/>
      </c>
      <c r="K28" s="113"/>
      <c r="L28" s="187"/>
    </row>
    <row r="29" spans="1:12">
      <c r="A29" s="297">
        <f>Application!B743</f>
        <v>0</v>
      </c>
      <c r="B29" s="864">
        <f>Application!G743</f>
        <v>0</v>
      </c>
      <c r="C29" s="941"/>
      <c r="D29" s="297">
        <f>Application!O743</f>
        <v>0</v>
      </c>
      <c r="E29" s="298"/>
      <c r="F29" s="865"/>
      <c r="G29" s="297">
        <f t="shared" si="2"/>
        <v>0</v>
      </c>
      <c r="H29" s="298"/>
      <c r="I29" s="297" t="str">
        <f t="shared" si="3"/>
        <v/>
      </c>
      <c r="J29" s="297" t="str">
        <f t="shared" si="4"/>
        <v/>
      </c>
      <c r="K29" s="113"/>
      <c r="L29" s="187"/>
    </row>
    <row r="30" spans="1:12">
      <c r="A30" s="297">
        <f>Application!B744</f>
        <v>0</v>
      </c>
      <c r="B30" s="864">
        <f>Application!G744</f>
        <v>0</v>
      </c>
      <c r="C30" s="941"/>
      <c r="D30" s="297">
        <f>Application!O744</f>
        <v>0</v>
      </c>
      <c r="E30" s="298"/>
      <c r="F30" s="865"/>
      <c r="G30" s="297">
        <f t="shared" si="2"/>
        <v>0</v>
      </c>
      <c r="H30" s="298"/>
      <c r="I30" s="297" t="str">
        <f t="shared" si="3"/>
        <v/>
      </c>
      <c r="J30" s="297" t="str">
        <f t="shared" si="4"/>
        <v/>
      </c>
      <c r="K30" s="113"/>
      <c r="L30" s="187"/>
    </row>
    <row r="31" spans="1:12">
      <c r="A31" s="297">
        <f>Application!B745</f>
        <v>0</v>
      </c>
      <c r="B31" s="864">
        <f>Application!G745</f>
        <v>0</v>
      </c>
      <c r="C31" s="941"/>
      <c r="D31" s="297">
        <f>Application!O745</f>
        <v>0</v>
      </c>
      <c r="E31" s="298"/>
      <c r="F31" s="865"/>
      <c r="G31" s="297">
        <f t="shared" si="2"/>
        <v>0</v>
      </c>
      <c r="H31" s="298"/>
      <c r="I31" s="297" t="str">
        <f t="shared" si="3"/>
        <v/>
      </c>
      <c r="J31" s="297" t="str">
        <f t="shared" si="4"/>
        <v/>
      </c>
      <c r="K31" s="113"/>
      <c r="L31" s="187"/>
    </row>
    <row r="32" spans="1:12">
      <c r="A32" s="297">
        <f>Application!B746</f>
        <v>0</v>
      </c>
      <c r="B32" s="864">
        <f>Application!G746</f>
        <v>0</v>
      </c>
      <c r="C32" s="941"/>
      <c r="D32" s="297">
        <f>Application!O746</f>
        <v>0</v>
      </c>
      <c r="E32" s="298"/>
      <c r="F32" s="865"/>
      <c r="G32" s="297">
        <f t="shared" si="2"/>
        <v>0</v>
      </c>
      <c r="H32" s="298"/>
      <c r="I32" s="297" t="str">
        <f t="shared" si="3"/>
        <v/>
      </c>
      <c r="J32" s="297" t="str">
        <f t="shared" si="4"/>
        <v/>
      </c>
      <c r="K32" s="113"/>
      <c r="L32" s="187"/>
    </row>
    <row r="33" spans="1:12">
      <c r="A33" s="297">
        <f>Application!B747</f>
        <v>0</v>
      </c>
      <c r="B33" s="864">
        <f>Application!G747</f>
        <v>0</v>
      </c>
      <c r="C33" s="941"/>
      <c r="D33" s="297">
        <f>Application!O747</f>
        <v>0</v>
      </c>
      <c r="E33" s="298"/>
      <c r="F33" s="865"/>
      <c r="G33" s="297">
        <f t="shared" si="2"/>
        <v>0</v>
      </c>
      <c r="H33" s="298"/>
      <c r="I33" s="297" t="str">
        <f t="shared" si="3"/>
        <v/>
      </c>
      <c r="J33" s="297" t="str">
        <f t="shared" si="4"/>
        <v/>
      </c>
      <c r="K33" s="113"/>
      <c r="L33" s="187"/>
    </row>
    <row r="34" spans="1:12">
      <c r="A34" s="297">
        <f>Application!B748</f>
        <v>0</v>
      </c>
      <c r="B34" s="864">
        <f>Application!G748</f>
        <v>0</v>
      </c>
      <c r="C34" s="941"/>
      <c r="D34" s="297">
        <f>Application!O748</f>
        <v>0</v>
      </c>
      <c r="E34" s="298"/>
      <c r="F34" s="865"/>
      <c r="G34" s="297">
        <f t="shared" si="2"/>
        <v>0</v>
      </c>
      <c r="H34" s="298"/>
      <c r="I34" s="297" t="str">
        <f t="shared" si="3"/>
        <v/>
      </c>
      <c r="J34" s="297" t="str">
        <f t="shared" si="4"/>
        <v/>
      </c>
      <c r="K34" s="113"/>
      <c r="L34" s="187"/>
    </row>
    <row r="35" spans="1:12">
      <c r="A35" s="297">
        <f>Application!B749</f>
        <v>0</v>
      </c>
      <c r="B35" s="864">
        <f>Application!G749</f>
        <v>0</v>
      </c>
      <c r="C35" s="941"/>
      <c r="D35" s="297">
        <f>Application!O749</f>
        <v>0</v>
      </c>
      <c r="E35" s="298"/>
      <c r="F35" s="865"/>
      <c r="G35" s="297">
        <f t="shared" si="2"/>
        <v>0</v>
      </c>
      <c r="H35" s="298"/>
      <c r="I35" s="297" t="str">
        <f t="shared" si="3"/>
        <v/>
      </c>
      <c r="J35" s="297" t="str">
        <f t="shared" si="4"/>
        <v/>
      </c>
      <c r="K35" s="113"/>
      <c r="L35" s="187"/>
    </row>
    <row r="36" spans="1:12">
      <c r="A36" s="297">
        <f>Application!B750</f>
        <v>0</v>
      </c>
      <c r="B36" s="864">
        <f>Application!G750</f>
        <v>0</v>
      </c>
      <c r="C36" s="941"/>
      <c r="D36" s="297">
        <f>Application!O750</f>
        <v>0</v>
      </c>
      <c r="E36" s="298"/>
      <c r="F36" s="865"/>
      <c r="G36" s="297">
        <f t="shared" si="2"/>
        <v>0</v>
      </c>
      <c r="H36" s="298"/>
      <c r="I36" s="297" t="str">
        <f t="shared" si="3"/>
        <v/>
      </c>
      <c r="J36" s="297" t="str">
        <f t="shared" si="4"/>
        <v/>
      </c>
      <c r="K36" s="113"/>
      <c r="L36" s="187"/>
    </row>
    <row r="37" spans="1:12">
      <c r="A37" s="297">
        <f>Application!B751</f>
        <v>0</v>
      </c>
      <c r="B37" s="864">
        <f>Application!G751</f>
        <v>0</v>
      </c>
      <c r="C37" s="941"/>
      <c r="D37" s="297">
        <f>Application!O751</f>
        <v>0</v>
      </c>
      <c r="E37" s="298"/>
      <c r="F37" s="865"/>
      <c r="G37" s="297">
        <f t="shared" si="2"/>
        <v>0</v>
      </c>
      <c r="H37" s="298"/>
      <c r="I37" s="297" t="str">
        <f t="shared" si="3"/>
        <v/>
      </c>
      <c r="J37" s="297" t="str">
        <f t="shared" si="4"/>
        <v/>
      </c>
      <c r="K37" s="113"/>
      <c r="L37" s="187"/>
    </row>
    <row r="38" spans="1:12">
      <c r="A38" s="297">
        <f>Application!B752</f>
        <v>0</v>
      </c>
      <c r="B38" s="864">
        <f>Application!G752</f>
        <v>0</v>
      </c>
      <c r="C38" s="941"/>
      <c r="D38" s="297">
        <f>Application!O752</f>
        <v>0</v>
      </c>
      <c r="E38" s="298"/>
      <c r="F38" s="865"/>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c r="A40" s="299" t="s">
        <v>2695</v>
      </c>
      <c r="B40" s="300"/>
      <c r="C40" s="300"/>
      <c r="D40" s="301">
        <f>Application!O753</f>
        <v>57109</v>
      </c>
      <c r="E40" s="298"/>
      <c r="F40" s="298"/>
      <c r="G40" s="301">
        <f>SUM(G4:G38)*12</f>
        <v>0</v>
      </c>
      <c r="H40" s="302"/>
      <c r="I40" s="300"/>
      <c r="J40" s="301">
        <f>SUM(J4:J38)*12</f>
        <v>0</v>
      </c>
      <c r="K40" s="113"/>
      <c r="L40" s="188"/>
    </row>
    <row r="41" spans="1:12">
      <c r="A41" s="299"/>
      <c r="B41" s="300"/>
      <c r="C41" s="300"/>
      <c r="D41" s="302"/>
      <c r="E41" s="298"/>
      <c r="F41" s="298"/>
      <c r="G41" s="302"/>
      <c r="H41" s="302"/>
      <c r="I41" s="300"/>
      <c r="J41" s="302"/>
      <c r="K41" s="113"/>
      <c r="L41" s="188"/>
    </row>
    <row r="42" spans="1:12">
      <c r="A42" s="186" t="s">
        <v>2696</v>
      </c>
    </row>
    <row r="43" spans="1:12">
      <c r="A43" s="2619" t="s">
        <v>2697</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2698</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78"/>
  <sheetViews>
    <sheetView workbookViewId="0">
      <selection activeCell="G25" sqref="G25"/>
    </sheetView>
  </sheetViews>
  <sheetFormatPr defaultColWidth="0" defaultRowHeight="12.5" zeroHeight="1"/>
  <cols>
    <col min="1" max="1" width="3.7265625" customWidth="1"/>
    <col min="2" max="2" width="30.453125" customWidth="1"/>
    <col min="3" max="3" width="9.1796875" style="120" customWidth="1"/>
    <col min="4" max="4" width="2.7265625" customWidth="1"/>
    <col min="5" max="19" width="12.7265625" customWidth="1"/>
    <col min="20" max="35" width="0" hidden="1" customWidth="1"/>
    <col min="36" max="16384" width="8.81640625" hidden="1"/>
  </cols>
  <sheetData>
    <row r="1" spans="1:19" ht="18">
      <c r="A1" s="118" t="s">
        <v>2699</v>
      </c>
      <c r="B1" s="118"/>
    </row>
    <row r="2" spans="1:19"/>
    <row r="3" spans="1:19" ht="15.5">
      <c r="A3" s="119" t="s">
        <v>2700</v>
      </c>
      <c r="B3" s="119"/>
      <c r="C3" s="140" t="s">
        <v>2701</v>
      </c>
      <c r="D3" s="1066"/>
      <c r="E3" s="141" t="s">
        <v>2702</v>
      </c>
      <c r="F3" s="141" t="s">
        <v>2703</v>
      </c>
      <c r="G3" s="141" t="s">
        <v>2704</v>
      </c>
      <c r="H3" s="141" t="s">
        <v>2705</v>
      </c>
      <c r="I3" s="141" t="s">
        <v>2706</v>
      </c>
      <c r="J3" s="141" t="s">
        <v>2707</v>
      </c>
      <c r="K3" s="141" t="s">
        <v>2708</v>
      </c>
      <c r="L3" s="141" t="s">
        <v>2709</v>
      </c>
      <c r="M3" s="141" t="s">
        <v>2710</v>
      </c>
      <c r="N3" s="141" t="s">
        <v>2711</v>
      </c>
      <c r="O3" s="141" t="s">
        <v>2712</v>
      </c>
      <c r="P3" s="141" t="s">
        <v>2713</v>
      </c>
      <c r="Q3" s="141" t="s">
        <v>2714</v>
      </c>
      <c r="R3" s="141" t="s">
        <v>2715</v>
      </c>
      <c r="S3" s="141" t="s">
        <v>2716</v>
      </c>
    </row>
    <row r="4" spans="1:19" s="125" customFormat="1" ht="14">
      <c r="A4" s="125" t="s">
        <v>2717</v>
      </c>
      <c r="C4" s="1212">
        <v>1.0249999999999999</v>
      </c>
      <c r="E4" s="125">
        <f>Application!Y801</f>
        <v>685308</v>
      </c>
      <c r="F4" s="125">
        <f t="shared" ref="F4:S4" si="0">E4*$C$4</f>
        <v>702440.7</v>
      </c>
      <c r="G4" s="125">
        <f t="shared" si="0"/>
        <v>720001.71749999991</v>
      </c>
      <c r="H4" s="125">
        <f t="shared" si="0"/>
        <v>738001.76043749985</v>
      </c>
      <c r="I4" s="125">
        <f t="shared" si="0"/>
        <v>756451.80444843729</v>
      </c>
      <c r="J4" s="125">
        <f t="shared" si="0"/>
        <v>775363.0995596482</v>
      </c>
      <c r="K4" s="125">
        <f t="shared" si="0"/>
        <v>794747.17704863928</v>
      </c>
      <c r="L4" s="125">
        <f t="shared" si="0"/>
        <v>814615.85647485522</v>
      </c>
      <c r="M4" s="125">
        <f t="shared" si="0"/>
        <v>834981.25288672652</v>
      </c>
      <c r="N4" s="125">
        <f t="shared" si="0"/>
        <v>855855.78420889459</v>
      </c>
      <c r="O4" s="125">
        <f t="shared" si="0"/>
        <v>877252.17881411687</v>
      </c>
      <c r="P4" s="125">
        <f t="shared" si="0"/>
        <v>899183.48328446969</v>
      </c>
      <c r="Q4" s="125">
        <f t="shared" si="0"/>
        <v>921663.07036658132</v>
      </c>
      <c r="R4" s="125">
        <f t="shared" si="0"/>
        <v>944704.64712574577</v>
      </c>
      <c r="S4" s="125">
        <f t="shared" si="0"/>
        <v>968322.26330388931</v>
      </c>
    </row>
    <row r="5" spans="1:19" s="117" customFormat="1" ht="14">
      <c r="B5" s="117" t="s">
        <v>2283</v>
      </c>
      <c r="C5" s="1213">
        <f>+((0.1*Application!$T$212)+(0.05*(1-Application!$T$212)))</f>
        <v>6.5189873417721519E-2</v>
      </c>
      <c r="E5" s="127">
        <f t="shared" ref="E5:S5" si="1">-E4*$C$5</f>
        <v>-44675.141772151896</v>
      </c>
      <c r="F5" s="127">
        <f t="shared" si="1"/>
        <v>-45792.020316455695</v>
      </c>
      <c r="G5" s="127">
        <f t="shared" si="1"/>
        <v>-46936.820824367082</v>
      </c>
      <c r="H5" s="127">
        <f t="shared" si="1"/>
        <v>-48110.241344976253</v>
      </c>
      <c r="I5" s="127">
        <f t="shared" si="1"/>
        <v>-49312.997378600659</v>
      </c>
      <c r="J5" s="127">
        <f t="shared" si="1"/>
        <v>-50545.822313065677</v>
      </c>
      <c r="K5" s="127">
        <f t="shared" si="1"/>
        <v>-51809.467870892309</v>
      </c>
      <c r="L5" s="127">
        <f t="shared" si="1"/>
        <v>-53104.704567664616</v>
      </c>
      <c r="M5" s="127">
        <f t="shared" si="1"/>
        <v>-54432.322181856223</v>
      </c>
      <c r="N5" s="127">
        <f t="shared" si="1"/>
        <v>-55793.13023640262</v>
      </c>
      <c r="O5" s="127">
        <f t="shared" si="1"/>
        <v>-57187.958492312682</v>
      </c>
      <c r="P5" s="127">
        <f t="shared" si="1"/>
        <v>-58617.657454620494</v>
      </c>
      <c r="Q5" s="127">
        <f t="shared" si="1"/>
        <v>-60083.098890985995</v>
      </c>
      <c r="R5" s="127">
        <f t="shared" si="1"/>
        <v>-61585.176363260645</v>
      </c>
      <c r="S5" s="127">
        <f t="shared" si="1"/>
        <v>-63124.805772342152</v>
      </c>
    </row>
    <row r="6" spans="1:19" s="117" customFormat="1" ht="14">
      <c r="A6" s="117" t="s">
        <v>2718</v>
      </c>
      <c r="C6" s="1212">
        <v>1.0249999999999999</v>
      </c>
      <c r="E6" s="128">
        <f>Application!Z809</f>
        <v>0</v>
      </c>
      <c r="F6" s="128">
        <f t="shared" ref="F6:S6" si="2">E6*$C$6</f>
        <v>0</v>
      </c>
      <c r="G6" s="128">
        <f t="shared" si="2"/>
        <v>0</v>
      </c>
      <c r="H6" s="128">
        <f t="shared" si="2"/>
        <v>0</v>
      </c>
      <c r="I6" s="128">
        <f t="shared" si="2"/>
        <v>0</v>
      </c>
      <c r="J6" s="128">
        <f t="shared" si="2"/>
        <v>0</v>
      </c>
      <c r="K6" s="128">
        <f t="shared" si="2"/>
        <v>0</v>
      </c>
      <c r="L6" s="128">
        <f t="shared" si="2"/>
        <v>0</v>
      </c>
      <c r="M6" s="128">
        <f t="shared" si="2"/>
        <v>0</v>
      </c>
      <c r="N6" s="128">
        <f t="shared" si="2"/>
        <v>0</v>
      </c>
      <c r="O6" s="128">
        <f t="shared" si="2"/>
        <v>0</v>
      </c>
      <c r="P6" s="128">
        <f t="shared" si="2"/>
        <v>0</v>
      </c>
      <c r="Q6" s="128">
        <f t="shared" si="2"/>
        <v>0</v>
      </c>
      <c r="R6" s="128">
        <f t="shared" si="2"/>
        <v>0</v>
      </c>
      <c r="S6" s="128">
        <f t="shared" si="2"/>
        <v>0</v>
      </c>
    </row>
    <row r="7" spans="1:19" s="117" customFormat="1" ht="14">
      <c r="B7" s="117" t="s">
        <v>2283</v>
      </c>
      <c r="C7" s="1213">
        <f>IF(Application!$D$211="Special Needs",(((0.1*Application!$T$212)+(0.05*(1-Application!$T$212)))),0.05)</f>
        <v>0.05</v>
      </c>
      <c r="E7" s="127">
        <f t="shared" ref="E7:S7" si="3">-E6*$C$7</f>
        <v>0</v>
      </c>
      <c r="F7" s="127">
        <f t="shared" si="3"/>
        <v>0</v>
      </c>
      <c r="G7" s="127">
        <f t="shared" si="3"/>
        <v>0</v>
      </c>
      <c r="H7" s="127">
        <f t="shared" si="3"/>
        <v>0</v>
      </c>
      <c r="I7" s="127">
        <f t="shared" si="3"/>
        <v>0</v>
      </c>
      <c r="J7" s="127">
        <f t="shared" si="3"/>
        <v>0</v>
      </c>
      <c r="K7" s="127">
        <f t="shared" si="3"/>
        <v>0</v>
      </c>
      <c r="L7" s="127">
        <f t="shared" si="3"/>
        <v>0</v>
      </c>
      <c r="M7" s="127">
        <f t="shared" si="3"/>
        <v>0</v>
      </c>
      <c r="N7" s="127">
        <f t="shared" si="3"/>
        <v>0</v>
      </c>
      <c r="O7" s="127">
        <f t="shared" si="3"/>
        <v>0</v>
      </c>
      <c r="P7" s="127">
        <f t="shared" si="3"/>
        <v>0</v>
      </c>
      <c r="Q7" s="127">
        <f t="shared" si="3"/>
        <v>0</v>
      </c>
      <c r="R7" s="127">
        <f t="shared" si="3"/>
        <v>0</v>
      </c>
      <c r="S7" s="127">
        <f t="shared" si="3"/>
        <v>0</v>
      </c>
    </row>
    <row r="8" spans="1:19" s="117" customFormat="1" ht="14">
      <c r="A8" s="117" t="s">
        <v>215</v>
      </c>
      <c r="C8" s="1212">
        <v>1.0249999999999999</v>
      </c>
      <c r="E8" s="128">
        <f>Application!Z817</f>
        <v>6160</v>
      </c>
      <c r="F8" s="128">
        <f t="shared" ref="F8:S8" si="4">E8*$C$8</f>
        <v>6313.9999999999991</v>
      </c>
      <c r="G8" s="128">
        <f t="shared" si="4"/>
        <v>6471.8499999999985</v>
      </c>
      <c r="H8" s="128">
        <f t="shared" si="4"/>
        <v>6633.646249999998</v>
      </c>
      <c r="I8" s="128">
        <f t="shared" si="4"/>
        <v>6799.4874062499975</v>
      </c>
      <c r="J8" s="128">
        <f t="shared" si="4"/>
        <v>6969.4745914062469</v>
      </c>
      <c r="K8" s="128">
        <f t="shared" si="4"/>
        <v>7143.7114561914022</v>
      </c>
      <c r="L8" s="128">
        <f t="shared" si="4"/>
        <v>7322.3042425961867</v>
      </c>
      <c r="M8" s="128">
        <f t="shared" si="4"/>
        <v>7505.3618486610903</v>
      </c>
      <c r="N8" s="128">
        <f t="shared" si="4"/>
        <v>7692.9958948776166</v>
      </c>
      <c r="O8" s="128">
        <f t="shared" si="4"/>
        <v>7885.3207922495567</v>
      </c>
      <c r="P8" s="128">
        <f t="shared" si="4"/>
        <v>8082.4538120557945</v>
      </c>
      <c r="Q8" s="128">
        <f t="shared" si="4"/>
        <v>8284.5151573571893</v>
      </c>
      <c r="R8" s="128">
        <f t="shared" si="4"/>
        <v>8491.6280362911184</v>
      </c>
      <c r="S8" s="128">
        <f t="shared" si="4"/>
        <v>8703.9187371983953</v>
      </c>
    </row>
    <row r="9" spans="1:19" s="117" customFormat="1" ht="14">
      <c r="B9" s="117" t="s">
        <v>2283</v>
      </c>
      <c r="C9" s="1213">
        <f>((0.1*Application!$T$212)+(0.05*(1-Application!$T$212)))</f>
        <v>6.5189873417721519E-2</v>
      </c>
      <c r="E9" s="127">
        <f t="shared" ref="E9:S9" si="5">-E8*$C$9</f>
        <v>-401.56962025316454</v>
      </c>
      <c r="F9" s="127">
        <f t="shared" si="5"/>
        <v>-411.60886075949361</v>
      </c>
      <c r="G9" s="127">
        <f t="shared" si="5"/>
        <v>-421.89908227848093</v>
      </c>
      <c r="H9" s="127">
        <f t="shared" si="5"/>
        <v>-432.44655933544288</v>
      </c>
      <c r="I9" s="127">
        <f t="shared" si="5"/>
        <v>-443.25772331882894</v>
      </c>
      <c r="J9" s="127">
        <f t="shared" si="5"/>
        <v>-454.33916640179962</v>
      </c>
      <c r="K9" s="127">
        <f t="shared" si="5"/>
        <v>-465.69764556184458</v>
      </c>
      <c r="L9" s="127">
        <f t="shared" si="5"/>
        <v>-477.34008670089065</v>
      </c>
      <c r="M9" s="127">
        <f t="shared" si="5"/>
        <v>-489.27358886841284</v>
      </c>
      <c r="N9" s="127">
        <f t="shared" si="5"/>
        <v>-501.50542859012313</v>
      </c>
      <c r="O9" s="127">
        <f t="shared" si="5"/>
        <v>-514.04306430487611</v>
      </c>
      <c r="P9" s="127">
        <f t="shared" si="5"/>
        <v>-526.89414091249796</v>
      </c>
      <c r="Q9" s="127">
        <f t="shared" si="5"/>
        <v>-540.06649443531046</v>
      </c>
      <c r="R9" s="127">
        <f t="shared" si="5"/>
        <v>-553.56815679619319</v>
      </c>
      <c r="S9" s="127">
        <f t="shared" si="5"/>
        <v>-567.40736071609797</v>
      </c>
    </row>
    <row r="10" spans="1:19" s="117" customFormat="1" ht="14">
      <c r="A10" s="923" t="s">
        <v>2719</v>
      </c>
      <c r="B10" s="923"/>
      <c r="C10" s="1213"/>
      <c r="E10" s="924"/>
      <c r="F10" s="924"/>
      <c r="G10" s="924"/>
      <c r="H10" s="924"/>
      <c r="I10" s="924"/>
      <c r="J10" s="924"/>
      <c r="K10" s="924"/>
      <c r="L10" s="924"/>
      <c r="M10" s="924"/>
      <c r="N10" s="924"/>
      <c r="O10" s="924"/>
      <c r="P10" s="924"/>
      <c r="Q10" s="924"/>
      <c r="R10" s="924"/>
      <c r="S10" s="924"/>
    </row>
    <row r="11" spans="1:19" s="129" customFormat="1" ht="14">
      <c r="A11" s="129" t="s">
        <v>2720</v>
      </c>
      <c r="C11" s="122"/>
      <c r="E11" s="129">
        <f t="shared" ref="E11:S11" si="6">SUM(E4:E10)</f>
        <v>646391.28860759491</v>
      </c>
      <c r="F11" s="129">
        <f t="shared" si="6"/>
        <v>662551.07082278468</v>
      </c>
      <c r="G11" s="129">
        <f t="shared" si="6"/>
        <v>679114.84759335429</v>
      </c>
      <c r="H11" s="129">
        <f t="shared" si="6"/>
        <v>696092.71878318815</v>
      </c>
      <c r="I11" s="129">
        <f t="shared" si="6"/>
        <v>713495.03675276774</v>
      </c>
      <c r="J11" s="129">
        <f t="shared" si="6"/>
        <v>731332.41267158708</v>
      </c>
      <c r="K11" s="129">
        <f t="shared" si="6"/>
        <v>749615.72298837651</v>
      </c>
      <c r="L11" s="129">
        <f t="shared" si="6"/>
        <v>768356.11606308585</v>
      </c>
      <c r="M11" s="129">
        <f t="shared" si="6"/>
        <v>787565.01896466292</v>
      </c>
      <c r="N11" s="129">
        <f t="shared" si="6"/>
        <v>807254.14443877945</v>
      </c>
      <c r="O11" s="129">
        <f t="shared" si="6"/>
        <v>827435.49804974883</v>
      </c>
      <c r="P11" s="129">
        <f t="shared" si="6"/>
        <v>848121.38550099253</v>
      </c>
      <c r="Q11" s="129">
        <f t="shared" si="6"/>
        <v>869324.42013851728</v>
      </c>
      <c r="R11" s="129">
        <f t="shared" si="6"/>
        <v>891057.53064198012</v>
      </c>
      <c r="S11" s="129">
        <f t="shared" si="6"/>
        <v>913333.96890802938</v>
      </c>
    </row>
    <row r="12" spans="1:19">
      <c r="C12" s="761"/>
      <c r="E12" s="121"/>
      <c r="F12" s="121"/>
      <c r="G12" s="121"/>
      <c r="H12" s="121"/>
      <c r="I12" s="121"/>
      <c r="J12" s="121"/>
      <c r="K12" s="121"/>
      <c r="L12" s="121"/>
      <c r="M12" s="121"/>
      <c r="N12" s="121"/>
      <c r="O12" s="121"/>
      <c r="P12" s="121"/>
      <c r="Q12" s="121"/>
      <c r="R12" s="121"/>
      <c r="S12" s="121"/>
    </row>
    <row r="13" spans="1:19" ht="15.5">
      <c r="A13" s="119" t="s">
        <v>2721</v>
      </c>
      <c r="C13" s="761"/>
      <c r="E13" s="121"/>
      <c r="F13" s="121"/>
      <c r="G13" s="121"/>
      <c r="H13" s="121"/>
      <c r="I13" s="121"/>
      <c r="J13" s="121"/>
      <c r="K13" s="121"/>
      <c r="L13" s="121"/>
      <c r="M13" s="121"/>
      <c r="N13" s="121"/>
      <c r="O13" s="121"/>
      <c r="P13" s="121"/>
      <c r="Q13" s="121"/>
      <c r="R13" s="121"/>
      <c r="S13" s="121"/>
    </row>
    <row r="14" spans="1:19" s="117" customFormat="1" ht="14">
      <c r="A14" s="117" t="s">
        <v>2722</v>
      </c>
      <c r="C14" s="1212">
        <v>1.0349999999999999</v>
      </c>
      <c r="E14" s="128"/>
      <c r="F14" s="128"/>
      <c r="G14" s="128"/>
      <c r="H14" s="128"/>
      <c r="I14" s="128"/>
      <c r="J14" s="128"/>
      <c r="K14" s="128"/>
      <c r="L14" s="128"/>
      <c r="M14" s="128"/>
      <c r="N14" s="128"/>
      <c r="O14" s="128"/>
      <c r="P14" s="128"/>
      <c r="Q14" s="128"/>
      <c r="R14" s="128"/>
      <c r="S14" s="128"/>
    </row>
    <row r="15" spans="1:19" s="125" customFormat="1" ht="14">
      <c r="A15" s="125" t="s">
        <v>2723</v>
      </c>
      <c r="C15" s="766"/>
      <c r="E15" s="125">
        <f>Application!W847</f>
        <v>77023</v>
      </c>
      <c r="F15" s="125">
        <f t="shared" ref="F15:S15" si="7">E15*$C$14</f>
        <v>79718.804999999993</v>
      </c>
      <c r="G15" s="125">
        <f t="shared" si="7"/>
        <v>82508.963174999983</v>
      </c>
      <c r="H15" s="125">
        <f t="shared" si="7"/>
        <v>85396.776886124979</v>
      </c>
      <c r="I15" s="125">
        <f t="shared" si="7"/>
        <v>88385.664077139343</v>
      </c>
      <c r="J15" s="125">
        <f t="shared" si="7"/>
        <v>91479.162319839219</v>
      </c>
      <c r="K15" s="125">
        <f t="shared" si="7"/>
        <v>94680.933001033583</v>
      </c>
      <c r="L15" s="125">
        <f t="shared" si="7"/>
        <v>97994.765656069751</v>
      </c>
      <c r="M15" s="125">
        <f t="shared" si="7"/>
        <v>101424.58245403218</v>
      </c>
      <c r="N15" s="125">
        <f t="shared" si="7"/>
        <v>104974.4428399233</v>
      </c>
      <c r="O15" s="125">
        <f t="shared" si="7"/>
        <v>108648.54833932061</v>
      </c>
      <c r="P15" s="125">
        <f t="shared" si="7"/>
        <v>112451.24753119682</v>
      </c>
      <c r="Q15" s="125">
        <f t="shared" si="7"/>
        <v>116387.04119478869</v>
      </c>
      <c r="R15" s="125">
        <f t="shared" si="7"/>
        <v>120460.58763660629</v>
      </c>
      <c r="S15" s="125">
        <f t="shared" si="7"/>
        <v>124676.70820388749</v>
      </c>
    </row>
    <row r="16" spans="1:19" s="117" customFormat="1" ht="14">
      <c r="A16" s="117" t="s">
        <v>1569</v>
      </c>
      <c r="C16" s="761"/>
      <c r="E16" s="128">
        <f>Application!W849</f>
        <v>68256</v>
      </c>
      <c r="F16" s="128">
        <f t="shared" ref="F16:F21" si="8">E16*$C$14</f>
        <v>70644.959999999992</v>
      </c>
      <c r="G16" s="128">
        <f t="shared" ref="G16:S16" si="9">F16*$C$14</f>
        <v>73117.533599999981</v>
      </c>
      <c r="H16" s="128">
        <f t="shared" si="9"/>
        <v>75676.647275999974</v>
      </c>
      <c r="I16" s="128">
        <f t="shared" si="9"/>
        <v>78325.329930659966</v>
      </c>
      <c r="J16" s="128">
        <f t="shared" si="9"/>
        <v>81066.716478233051</v>
      </c>
      <c r="K16" s="128">
        <f t="shared" si="9"/>
        <v>83904.0515549712</v>
      </c>
      <c r="L16" s="128">
        <f t="shared" si="9"/>
        <v>86840.693359395184</v>
      </c>
      <c r="M16" s="128">
        <f t="shared" si="9"/>
        <v>89880.11762697401</v>
      </c>
      <c r="N16" s="128">
        <f t="shared" si="9"/>
        <v>93025.921743918094</v>
      </c>
      <c r="O16" s="128">
        <f t="shared" si="9"/>
        <v>96281.829004955216</v>
      </c>
      <c r="P16" s="128">
        <f t="shared" si="9"/>
        <v>99651.693020128645</v>
      </c>
      <c r="Q16" s="128">
        <f t="shared" si="9"/>
        <v>103139.50227583313</v>
      </c>
      <c r="R16" s="128">
        <f t="shared" si="9"/>
        <v>106749.38485548728</v>
      </c>
      <c r="S16" s="128">
        <f t="shared" si="9"/>
        <v>110485.61332542932</v>
      </c>
    </row>
    <row r="17" spans="1:19" s="117" customFormat="1" ht="14">
      <c r="A17" s="117" t="s">
        <v>230</v>
      </c>
      <c r="C17" s="761"/>
      <c r="E17" s="128">
        <f>Application!W855</f>
        <v>68524</v>
      </c>
      <c r="F17" s="128">
        <f t="shared" si="8"/>
        <v>70922.34</v>
      </c>
      <c r="G17" s="128">
        <f t="shared" ref="G17:S17" si="10">F17*$C$14</f>
        <v>73404.621899999984</v>
      </c>
      <c r="H17" s="128">
        <f t="shared" si="10"/>
        <v>75973.783666499978</v>
      </c>
      <c r="I17" s="128">
        <f t="shared" si="10"/>
        <v>78632.866094827477</v>
      </c>
      <c r="J17" s="128">
        <f t="shared" si="10"/>
        <v>81385.016408146432</v>
      </c>
      <c r="K17" s="128">
        <f t="shared" si="10"/>
        <v>84233.491982431544</v>
      </c>
      <c r="L17" s="128">
        <f t="shared" si="10"/>
        <v>87181.664201816646</v>
      </c>
      <c r="M17" s="128">
        <f t="shared" si="10"/>
        <v>90233.02244888022</v>
      </c>
      <c r="N17" s="128">
        <f t="shared" si="10"/>
        <v>93391.178234591018</v>
      </c>
      <c r="O17" s="128">
        <f t="shared" si="10"/>
        <v>96659.8694728017</v>
      </c>
      <c r="P17" s="128">
        <f t="shared" si="10"/>
        <v>100042.96490434975</v>
      </c>
      <c r="Q17" s="128">
        <f t="shared" si="10"/>
        <v>103544.46867600198</v>
      </c>
      <c r="R17" s="128">
        <f t="shared" si="10"/>
        <v>107168.52507966204</v>
      </c>
      <c r="S17" s="128">
        <f t="shared" si="10"/>
        <v>110919.4234574502</v>
      </c>
    </row>
    <row r="18" spans="1:19" s="117" customFormat="1" ht="14">
      <c r="A18" s="117" t="s">
        <v>2724</v>
      </c>
      <c r="C18" s="761"/>
      <c r="E18" s="128">
        <f>Application!W862</f>
        <v>146754</v>
      </c>
      <c r="F18" s="128">
        <f t="shared" si="8"/>
        <v>151890.38999999998</v>
      </c>
      <c r="G18" s="128">
        <f t="shared" ref="G18:S18" si="11">F18*$C$14</f>
        <v>157206.55364999996</v>
      </c>
      <c r="H18" s="128">
        <f t="shared" si="11"/>
        <v>162708.78302774995</v>
      </c>
      <c r="I18" s="128">
        <f t="shared" si="11"/>
        <v>168403.59043372117</v>
      </c>
      <c r="J18" s="128">
        <f t="shared" si="11"/>
        <v>174297.71609890141</v>
      </c>
      <c r="K18" s="128">
        <f t="shared" si="11"/>
        <v>180398.13616236293</v>
      </c>
      <c r="L18" s="128">
        <f t="shared" si="11"/>
        <v>186712.07092804564</v>
      </c>
      <c r="M18" s="128">
        <f t="shared" si="11"/>
        <v>193246.99341052721</v>
      </c>
      <c r="N18" s="128">
        <f t="shared" si="11"/>
        <v>200010.63817989564</v>
      </c>
      <c r="O18" s="128">
        <f t="shared" si="11"/>
        <v>207011.01051619198</v>
      </c>
      <c r="P18" s="128">
        <f t="shared" si="11"/>
        <v>214256.39588425867</v>
      </c>
      <c r="Q18" s="128">
        <f t="shared" si="11"/>
        <v>221755.36974020771</v>
      </c>
      <c r="R18" s="128">
        <f t="shared" si="11"/>
        <v>229516.80768111497</v>
      </c>
      <c r="S18" s="128">
        <f t="shared" si="11"/>
        <v>237549.89594995396</v>
      </c>
    </row>
    <row r="19" spans="1:19" s="117" customFormat="1" ht="14">
      <c r="A19" s="117" t="s">
        <v>1815</v>
      </c>
      <c r="C19" s="761"/>
      <c r="E19" s="128">
        <f>Application!W863</f>
        <v>25824</v>
      </c>
      <c r="F19" s="128">
        <f t="shared" si="8"/>
        <v>26727.839999999997</v>
      </c>
      <c r="G19" s="128">
        <f t="shared" ref="G19:S19" si="12">F19*$C$14</f>
        <v>27663.314399999996</v>
      </c>
      <c r="H19" s="128">
        <f t="shared" si="12"/>
        <v>28631.530403999994</v>
      </c>
      <c r="I19" s="128">
        <f t="shared" si="12"/>
        <v>29633.633968139991</v>
      </c>
      <c r="J19" s="128">
        <f t="shared" si="12"/>
        <v>30670.811157024888</v>
      </c>
      <c r="K19" s="128">
        <f t="shared" si="12"/>
        <v>31744.289547520755</v>
      </c>
      <c r="L19" s="128">
        <f t="shared" si="12"/>
        <v>32855.339681683981</v>
      </c>
      <c r="M19" s="128">
        <f t="shared" si="12"/>
        <v>34005.276570542919</v>
      </c>
      <c r="N19" s="128">
        <f t="shared" si="12"/>
        <v>35195.461250511922</v>
      </c>
      <c r="O19" s="128">
        <f t="shared" si="12"/>
        <v>36427.302394279839</v>
      </c>
      <c r="P19" s="128">
        <f t="shared" si="12"/>
        <v>37702.25797807963</v>
      </c>
      <c r="Q19" s="128">
        <f t="shared" si="12"/>
        <v>39021.837007312417</v>
      </c>
      <c r="R19" s="128">
        <f t="shared" si="12"/>
        <v>40387.60130256835</v>
      </c>
      <c r="S19" s="128">
        <f t="shared" si="12"/>
        <v>41801.16734815824</v>
      </c>
    </row>
    <row r="20" spans="1:19" s="117" customFormat="1" ht="14">
      <c r="A20" s="117" t="s">
        <v>232</v>
      </c>
      <c r="C20" s="761"/>
      <c r="E20" s="128">
        <f>Application!W872</f>
        <v>45412</v>
      </c>
      <c r="F20" s="128">
        <f t="shared" si="8"/>
        <v>47001.42</v>
      </c>
      <c r="G20" s="128">
        <f t="shared" ref="G20:S20" si="13">F20*$C$14</f>
        <v>48646.469699999994</v>
      </c>
      <c r="H20" s="128">
        <f t="shared" si="13"/>
        <v>50349.09613949999</v>
      </c>
      <c r="I20" s="128">
        <f t="shared" si="13"/>
        <v>52111.314504382484</v>
      </c>
      <c r="J20" s="128">
        <f t="shared" si="13"/>
        <v>53935.210512035868</v>
      </c>
      <c r="K20" s="128">
        <f t="shared" si="13"/>
        <v>55822.942879957118</v>
      </c>
      <c r="L20" s="128">
        <f t="shared" si="13"/>
        <v>57776.74588075561</v>
      </c>
      <c r="M20" s="128">
        <f t="shared" si="13"/>
        <v>59798.931986582051</v>
      </c>
      <c r="N20" s="128">
        <f t="shared" si="13"/>
        <v>61891.894606112415</v>
      </c>
      <c r="O20" s="128">
        <f t="shared" si="13"/>
        <v>64058.110917326347</v>
      </c>
      <c r="P20" s="128">
        <f t="shared" si="13"/>
        <v>66300.144799432761</v>
      </c>
      <c r="Q20" s="128">
        <f t="shared" si="13"/>
        <v>68620.649867412896</v>
      </c>
      <c r="R20" s="128">
        <f t="shared" si="13"/>
        <v>71022.372612772335</v>
      </c>
      <c r="S20" s="128">
        <f t="shared" si="13"/>
        <v>73508.155654219358</v>
      </c>
    </row>
    <row r="21" spans="1:19" s="117" customFormat="1" ht="14">
      <c r="A21" s="132" t="s">
        <v>2725</v>
      </c>
      <c r="B21" s="132"/>
      <c r="C21" s="761"/>
      <c r="E21" s="138">
        <f>Application!W879</f>
        <v>0</v>
      </c>
      <c r="F21" s="138">
        <f t="shared" si="8"/>
        <v>0</v>
      </c>
      <c r="G21" s="138">
        <f t="shared" ref="G21:S21" si="14">F21*$C$14</f>
        <v>0</v>
      </c>
      <c r="H21" s="138">
        <f t="shared" si="14"/>
        <v>0</v>
      </c>
      <c r="I21" s="138">
        <f t="shared" si="14"/>
        <v>0</v>
      </c>
      <c r="J21" s="138">
        <f t="shared" si="14"/>
        <v>0</v>
      </c>
      <c r="K21" s="138">
        <f t="shared" si="14"/>
        <v>0</v>
      </c>
      <c r="L21" s="138">
        <f t="shared" si="14"/>
        <v>0</v>
      </c>
      <c r="M21" s="138">
        <f t="shared" si="14"/>
        <v>0</v>
      </c>
      <c r="N21" s="138">
        <f t="shared" si="14"/>
        <v>0</v>
      </c>
      <c r="O21" s="138">
        <f t="shared" si="14"/>
        <v>0</v>
      </c>
      <c r="P21" s="138">
        <f t="shared" si="14"/>
        <v>0</v>
      </c>
      <c r="Q21" s="138">
        <f t="shared" si="14"/>
        <v>0</v>
      </c>
      <c r="R21" s="138">
        <f t="shared" si="14"/>
        <v>0</v>
      </c>
      <c r="S21" s="138">
        <f t="shared" si="14"/>
        <v>0</v>
      </c>
    </row>
    <row r="22" spans="1:19" s="129" customFormat="1" ht="14">
      <c r="A22" s="129" t="s">
        <v>2726</v>
      </c>
      <c r="C22" s="761"/>
      <c r="E22" s="129">
        <f t="shared" ref="E22:S22" si="15">SUM(E15:E21)</f>
        <v>431793</v>
      </c>
      <c r="F22" s="129">
        <f t="shared" si="15"/>
        <v>446905.75499999995</v>
      </c>
      <c r="G22" s="129">
        <f t="shared" si="15"/>
        <v>462547.45642499987</v>
      </c>
      <c r="H22" s="129">
        <f t="shared" si="15"/>
        <v>478736.61739987484</v>
      </c>
      <c r="I22" s="129">
        <f t="shared" si="15"/>
        <v>495492.39900887042</v>
      </c>
      <c r="J22" s="129">
        <f t="shared" si="15"/>
        <v>512834.63297418086</v>
      </c>
      <c r="K22" s="129">
        <f t="shared" si="15"/>
        <v>530783.84512827708</v>
      </c>
      <c r="L22" s="129">
        <f t="shared" si="15"/>
        <v>549361.27970776684</v>
      </c>
      <c r="M22" s="129">
        <f t="shared" si="15"/>
        <v>568588.9244975386</v>
      </c>
      <c r="N22" s="129">
        <f t="shared" si="15"/>
        <v>588489.53685495234</v>
      </c>
      <c r="O22" s="129">
        <f t="shared" si="15"/>
        <v>609086.67064487562</v>
      </c>
      <c r="P22" s="129">
        <f t="shared" si="15"/>
        <v>630404.70411744621</v>
      </c>
      <c r="Q22" s="129">
        <f t="shared" si="15"/>
        <v>652468.86876155681</v>
      </c>
      <c r="R22" s="129">
        <f t="shared" si="15"/>
        <v>675305.27916821116</v>
      </c>
      <c r="S22" s="129">
        <f t="shared" si="15"/>
        <v>698940.96393909852</v>
      </c>
    </row>
    <row r="23" spans="1:19" s="117" customFormat="1" ht="14">
      <c r="C23" s="761"/>
      <c r="E23" s="128"/>
      <c r="F23" s="128"/>
      <c r="G23" s="128"/>
      <c r="H23" s="128"/>
      <c r="I23" s="128"/>
      <c r="J23" s="128"/>
      <c r="K23" s="128"/>
      <c r="L23" s="128"/>
      <c r="M23" s="128"/>
      <c r="N23" s="128"/>
      <c r="O23" s="128"/>
      <c r="P23" s="128"/>
      <c r="Q23" s="128"/>
      <c r="R23" s="128"/>
      <c r="S23" s="128"/>
    </row>
    <row r="24" spans="1:19" s="117" customFormat="1" ht="14">
      <c r="A24" s="117" t="s">
        <v>2727</v>
      </c>
      <c r="C24" s="761"/>
      <c r="E24" s="716"/>
      <c r="F24" s="128">
        <f t="shared" ref="F24:S24" si="16">E24*$C$24</f>
        <v>0</v>
      </c>
      <c r="G24" s="128">
        <f t="shared" si="16"/>
        <v>0</v>
      </c>
      <c r="H24" s="128">
        <f t="shared" si="16"/>
        <v>0</v>
      </c>
      <c r="I24" s="128">
        <f t="shared" si="16"/>
        <v>0</v>
      </c>
      <c r="J24" s="128">
        <f t="shared" si="16"/>
        <v>0</v>
      </c>
      <c r="K24" s="128">
        <f t="shared" si="16"/>
        <v>0</v>
      </c>
      <c r="L24" s="128">
        <f t="shared" si="16"/>
        <v>0</v>
      </c>
      <c r="M24" s="128">
        <f t="shared" si="16"/>
        <v>0</v>
      </c>
      <c r="N24" s="128">
        <f t="shared" si="16"/>
        <v>0</v>
      </c>
      <c r="O24" s="128">
        <f t="shared" si="16"/>
        <v>0</v>
      </c>
      <c r="P24" s="128">
        <f t="shared" si="16"/>
        <v>0</v>
      </c>
      <c r="Q24" s="128">
        <f t="shared" si="16"/>
        <v>0</v>
      </c>
      <c r="R24" s="128">
        <f t="shared" si="16"/>
        <v>0</v>
      </c>
      <c r="S24" s="128">
        <f t="shared" si="16"/>
        <v>0</v>
      </c>
    </row>
    <row r="25" spans="1:19" s="117" customFormat="1" ht="14">
      <c r="C25" s="761"/>
      <c r="E25" s="128"/>
      <c r="F25" s="128"/>
      <c r="G25" s="128"/>
      <c r="H25" s="128"/>
      <c r="I25" s="128"/>
      <c r="J25" s="128"/>
      <c r="K25" s="128"/>
      <c r="L25" s="128"/>
      <c r="M25" s="128"/>
      <c r="N25" s="128"/>
      <c r="O25" s="128"/>
      <c r="P25" s="128"/>
      <c r="Q25" s="128"/>
      <c r="R25" s="128"/>
      <c r="S25" s="128"/>
    </row>
    <row r="26" spans="1:19" s="117" customFormat="1" ht="14">
      <c r="A26" s="117" t="s">
        <v>2728</v>
      </c>
      <c r="C26" s="1212">
        <v>1.0349999999999999</v>
      </c>
      <c r="E26" s="128">
        <f>Application!AC887</f>
        <v>0</v>
      </c>
      <c r="F26" s="128">
        <f t="shared" ref="F26:S26" si="17">E26*$C$26</f>
        <v>0</v>
      </c>
      <c r="G26" s="128">
        <f t="shared" si="17"/>
        <v>0</v>
      </c>
      <c r="H26" s="128">
        <f t="shared" si="17"/>
        <v>0</v>
      </c>
      <c r="I26" s="128">
        <f t="shared" si="17"/>
        <v>0</v>
      </c>
      <c r="J26" s="128">
        <f t="shared" si="17"/>
        <v>0</v>
      </c>
      <c r="K26" s="128">
        <f t="shared" si="17"/>
        <v>0</v>
      </c>
      <c r="L26" s="128">
        <f t="shared" si="17"/>
        <v>0</v>
      </c>
      <c r="M26" s="128">
        <f t="shared" si="17"/>
        <v>0</v>
      </c>
      <c r="N26" s="128">
        <f t="shared" si="17"/>
        <v>0</v>
      </c>
      <c r="O26" s="128">
        <f t="shared" si="17"/>
        <v>0</v>
      </c>
      <c r="P26" s="128">
        <f t="shared" si="17"/>
        <v>0</v>
      </c>
      <c r="Q26" s="128">
        <f t="shared" si="17"/>
        <v>0</v>
      </c>
      <c r="R26" s="128">
        <f t="shared" si="17"/>
        <v>0</v>
      </c>
      <c r="S26" s="128">
        <f t="shared" si="17"/>
        <v>0</v>
      </c>
    </row>
    <row r="27" spans="1:19" s="117" customFormat="1" ht="14">
      <c r="A27" s="117" t="s">
        <v>2334</v>
      </c>
      <c r="C27" s="1212">
        <v>1.0349999999999999</v>
      </c>
      <c r="E27" s="128">
        <f>Application!AC888</f>
        <v>20600</v>
      </c>
      <c r="F27" s="128">
        <f t="shared" ref="F27:S27" si="18">E27*$C$27</f>
        <v>21321</v>
      </c>
      <c r="G27" s="128">
        <f t="shared" si="18"/>
        <v>22067.234999999997</v>
      </c>
      <c r="H27" s="128">
        <f t="shared" si="18"/>
        <v>22839.588224999996</v>
      </c>
      <c r="I27" s="128">
        <f t="shared" si="18"/>
        <v>23638.973812874992</v>
      </c>
      <c r="J27" s="128">
        <f t="shared" si="18"/>
        <v>24466.337896325615</v>
      </c>
      <c r="K27" s="128">
        <f t="shared" si="18"/>
        <v>25322.659722697008</v>
      </c>
      <c r="L27" s="128">
        <f t="shared" si="18"/>
        <v>26208.9528129914</v>
      </c>
      <c r="M27" s="128">
        <f t="shared" si="18"/>
        <v>27126.266161446096</v>
      </c>
      <c r="N27" s="128">
        <f t="shared" si="18"/>
        <v>28075.685477096707</v>
      </c>
      <c r="O27" s="128">
        <f t="shared" si="18"/>
        <v>29058.334468795088</v>
      </c>
      <c r="P27" s="128">
        <f t="shared" si="18"/>
        <v>30075.376175202913</v>
      </c>
      <c r="Q27" s="128">
        <f t="shared" si="18"/>
        <v>31128.014341335012</v>
      </c>
      <c r="R27" s="128">
        <f t="shared" si="18"/>
        <v>32217.494843281736</v>
      </c>
      <c r="S27" s="128">
        <f t="shared" si="18"/>
        <v>33345.107162796594</v>
      </c>
    </row>
    <row r="28" spans="1:19" s="117" customFormat="1" ht="14">
      <c r="A28" s="117" t="s">
        <v>2729</v>
      </c>
      <c r="C28" s="1212"/>
      <c r="E28" s="128">
        <f>Application!AC889</f>
        <v>40000</v>
      </c>
      <c r="F28" s="128">
        <f t="shared" ref="F28:S28" si="19">$E$28</f>
        <v>40000</v>
      </c>
      <c r="G28" s="128">
        <f t="shared" si="19"/>
        <v>40000</v>
      </c>
      <c r="H28" s="128">
        <f t="shared" si="19"/>
        <v>40000</v>
      </c>
      <c r="I28" s="128">
        <f t="shared" si="19"/>
        <v>40000</v>
      </c>
      <c r="J28" s="128">
        <f t="shared" si="19"/>
        <v>40000</v>
      </c>
      <c r="K28" s="128">
        <f t="shared" si="19"/>
        <v>40000</v>
      </c>
      <c r="L28" s="128">
        <f t="shared" si="19"/>
        <v>40000</v>
      </c>
      <c r="M28" s="128">
        <f t="shared" si="19"/>
        <v>40000</v>
      </c>
      <c r="N28" s="128">
        <f t="shared" si="19"/>
        <v>40000</v>
      </c>
      <c r="O28" s="128">
        <f t="shared" si="19"/>
        <v>40000</v>
      </c>
      <c r="P28" s="128">
        <f t="shared" si="19"/>
        <v>40000</v>
      </c>
      <c r="Q28" s="128">
        <f t="shared" si="19"/>
        <v>40000</v>
      </c>
      <c r="R28" s="128">
        <f t="shared" si="19"/>
        <v>40000</v>
      </c>
      <c r="S28" s="128">
        <f t="shared" si="19"/>
        <v>40000</v>
      </c>
    </row>
    <row r="29" spans="1:19" s="117" customFormat="1" ht="14">
      <c r="A29" s="117" t="s">
        <v>2730</v>
      </c>
      <c r="C29" s="1212">
        <v>1.03</v>
      </c>
      <c r="E29" s="128">
        <f>Application!AC890</f>
        <v>9888</v>
      </c>
      <c r="F29" s="128">
        <f>E29*$C$29</f>
        <v>10184.64</v>
      </c>
      <c r="G29" s="128">
        <f t="shared" ref="G29:S29" si="20">F29*$C$29</f>
        <v>10490.1792</v>
      </c>
      <c r="H29" s="128">
        <f t="shared" si="20"/>
        <v>10804.884576</v>
      </c>
      <c r="I29" s="128">
        <f t="shared" si="20"/>
        <v>11129.03111328</v>
      </c>
      <c r="J29" s="128">
        <f t="shared" si="20"/>
        <v>11462.9020466784</v>
      </c>
      <c r="K29" s="128">
        <f t="shared" si="20"/>
        <v>11806.789108078752</v>
      </c>
      <c r="L29" s="128">
        <f t="shared" si="20"/>
        <v>12160.992781321114</v>
      </c>
      <c r="M29" s="128">
        <f t="shared" si="20"/>
        <v>12525.822564760749</v>
      </c>
      <c r="N29" s="128">
        <f t="shared" si="20"/>
        <v>12901.597241703572</v>
      </c>
      <c r="O29" s="128">
        <f t="shared" si="20"/>
        <v>13288.64515895468</v>
      </c>
      <c r="P29" s="128">
        <f t="shared" si="20"/>
        <v>13687.30451372332</v>
      </c>
      <c r="Q29" s="128">
        <f t="shared" si="20"/>
        <v>14097.92364913502</v>
      </c>
      <c r="R29" s="128">
        <f t="shared" si="20"/>
        <v>14520.861358609071</v>
      </c>
      <c r="S29" s="128">
        <f t="shared" si="20"/>
        <v>14956.487199367342</v>
      </c>
    </row>
    <row r="30" spans="1:19" s="117" customFormat="1" ht="14">
      <c r="A30" s="117" t="s">
        <v>2731</v>
      </c>
      <c r="C30" s="1212">
        <v>1.02</v>
      </c>
      <c r="E30" s="128">
        <f>Application!AC891</f>
        <v>0</v>
      </c>
      <c r="F30" s="128">
        <f t="shared" ref="F30:S30" si="21">E30*$C$30</f>
        <v>0</v>
      </c>
      <c r="G30" s="128">
        <f t="shared" si="21"/>
        <v>0</v>
      </c>
      <c r="H30" s="128">
        <f t="shared" si="21"/>
        <v>0</v>
      </c>
      <c r="I30" s="128">
        <f t="shared" si="21"/>
        <v>0</v>
      </c>
      <c r="J30" s="128">
        <f t="shared" si="21"/>
        <v>0</v>
      </c>
      <c r="K30" s="128">
        <f t="shared" si="21"/>
        <v>0</v>
      </c>
      <c r="L30" s="128">
        <f t="shared" si="21"/>
        <v>0</v>
      </c>
      <c r="M30" s="128">
        <f t="shared" si="21"/>
        <v>0</v>
      </c>
      <c r="N30" s="128">
        <f t="shared" si="21"/>
        <v>0</v>
      </c>
      <c r="O30" s="128">
        <f t="shared" si="21"/>
        <v>0</v>
      </c>
      <c r="P30" s="128">
        <f t="shared" si="21"/>
        <v>0</v>
      </c>
      <c r="Q30" s="128">
        <f t="shared" si="21"/>
        <v>0</v>
      </c>
      <c r="R30" s="128">
        <f t="shared" si="21"/>
        <v>0</v>
      </c>
      <c r="S30" s="128">
        <f t="shared" si="21"/>
        <v>0</v>
      </c>
    </row>
    <row r="31" spans="1:19" s="117" customFormat="1" ht="14">
      <c r="A31" s="117" t="s">
        <v>2732</v>
      </c>
      <c r="C31" s="1212">
        <v>1.02</v>
      </c>
      <c r="E31" s="128">
        <f>Application!AC893</f>
        <v>0</v>
      </c>
      <c r="F31" s="128">
        <f t="shared" ref="F31:S31" si="22">E31*$C$31</f>
        <v>0</v>
      </c>
      <c r="G31" s="128">
        <f t="shared" si="22"/>
        <v>0</v>
      </c>
      <c r="H31" s="128">
        <f t="shared" si="22"/>
        <v>0</v>
      </c>
      <c r="I31" s="128">
        <f t="shared" si="22"/>
        <v>0</v>
      </c>
      <c r="J31" s="128">
        <f t="shared" si="22"/>
        <v>0</v>
      </c>
      <c r="K31" s="128">
        <f t="shared" si="22"/>
        <v>0</v>
      </c>
      <c r="L31" s="128">
        <f t="shared" si="22"/>
        <v>0</v>
      </c>
      <c r="M31" s="128">
        <f t="shared" si="22"/>
        <v>0</v>
      </c>
      <c r="N31" s="128">
        <f t="shared" si="22"/>
        <v>0</v>
      </c>
      <c r="O31" s="128">
        <f t="shared" si="22"/>
        <v>0</v>
      </c>
      <c r="P31" s="128">
        <f t="shared" si="22"/>
        <v>0</v>
      </c>
      <c r="Q31" s="128">
        <f t="shared" si="22"/>
        <v>0</v>
      </c>
      <c r="R31" s="128">
        <f t="shared" si="22"/>
        <v>0</v>
      </c>
      <c r="S31" s="128">
        <f t="shared" si="22"/>
        <v>0</v>
      </c>
    </row>
    <row r="32" spans="1:19" s="117" customFormat="1" ht="14">
      <c r="A32" s="117" t="str">
        <f>Application!C894</f>
        <v>Other (Specify): Bond Issuer Fees</v>
      </c>
      <c r="C32" s="1214">
        <v>1</v>
      </c>
      <c r="E32" s="128">
        <f>Application!AC894</f>
        <v>4000</v>
      </c>
      <c r="F32" s="128">
        <f t="shared" ref="F32:S32" si="23">E32*$C$32</f>
        <v>4000</v>
      </c>
      <c r="G32" s="128">
        <f t="shared" si="23"/>
        <v>4000</v>
      </c>
      <c r="H32" s="128">
        <f t="shared" si="23"/>
        <v>4000</v>
      </c>
      <c r="I32" s="128">
        <f t="shared" si="23"/>
        <v>4000</v>
      </c>
      <c r="J32" s="128">
        <f t="shared" si="23"/>
        <v>4000</v>
      </c>
      <c r="K32" s="128">
        <f t="shared" si="23"/>
        <v>4000</v>
      </c>
      <c r="L32" s="128">
        <f t="shared" si="23"/>
        <v>4000</v>
      </c>
      <c r="M32" s="128">
        <f t="shared" si="23"/>
        <v>4000</v>
      </c>
      <c r="N32" s="128">
        <f t="shared" si="23"/>
        <v>4000</v>
      </c>
      <c r="O32" s="128">
        <f t="shared" si="23"/>
        <v>4000</v>
      </c>
      <c r="P32" s="128">
        <f t="shared" si="23"/>
        <v>4000</v>
      </c>
      <c r="Q32" s="128">
        <f t="shared" si="23"/>
        <v>4000</v>
      </c>
      <c r="R32" s="128">
        <f t="shared" si="23"/>
        <v>4000</v>
      </c>
      <c r="S32" s="128">
        <f t="shared" si="23"/>
        <v>4000</v>
      </c>
    </row>
    <row r="33" spans="1:19" s="117" customFormat="1" ht="14">
      <c r="A33" s="117" t="str">
        <f>Application!C895</f>
        <v>Other (Specify):</v>
      </c>
      <c r="C33" s="1214">
        <v>1.0349999999999999</v>
      </c>
      <c r="E33" s="128">
        <f>Application!AC895</f>
        <v>0</v>
      </c>
      <c r="F33" s="128">
        <f t="shared" ref="F33:S33" si="24">E33*$C$33</f>
        <v>0</v>
      </c>
      <c r="G33" s="128">
        <f t="shared" si="24"/>
        <v>0</v>
      </c>
      <c r="H33" s="128">
        <f t="shared" si="24"/>
        <v>0</v>
      </c>
      <c r="I33" s="128">
        <f t="shared" si="24"/>
        <v>0</v>
      </c>
      <c r="J33" s="128">
        <f t="shared" si="24"/>
        <v>0</v>
      </c>
      <c r="K33" s="128">
        <f t="shared" si="24"/>
        <v>0</v>
      </c>
      <c r="L33" s="128">
        <f t="shared" si="24"/>
        <v>0</v>
      </c>
      <c r="M33" s="128">
        <f t="shared" si="24"/>
        <v>0</v>
      </c>
      <c r="N33" s="128">
        <f t="shared" si="24"/>
        <v>0</v>
      </c>
      <c r="O33" s="128">
        <f t="shared" si="24"/>
        <v>0</v>
      </c>
      <c r="P33" s="128">
        <f t="shared" si="24"/>
        <v>0</v>
      </c>
      <c r="Q33" s="128">
        <f t="shared" si="24"/>
        <v>0</v>
      </c>
      <c r="R33" s="128">
        <f t="shared" si="24"/>
        <v>0</v>
      </c>
      <c r="S33" s="128">
        <f t="shared" si="24"/>
        <v>0</v>
      </c>
    </row>
    <row r="34" spans="1:19" s="117" customFormat="1" ht="14">
      <c r="C34" s="126"/>
      <c r="E34" s="128"/>
      <c r="F34" s="128"/>
      <c r="G34" s="128"/>
      <c r="H34" s="128"/>
      <c r="I34" s="128"/>
      <c r="J34" s="128"/>
      <c r="K34" s="128"/>
      <c r="L34" s="128"/>
      <c r="M34" s="128"/>
      <c r="N34" s="128"/>
      <c r="O34" s="128"/>
      <c r="P34" s="128"/>
      <c r="Q34" s="128"/>
      <c r="R34" s="128"/>
      <c r="S34" s="128"/>
    </row>
    <row r="35" spans="1:19" s="129" customFormat="1" ht="14">
      <c r="A35" s="129" t="s">
        <v>1594</v>
      </c>
      <c r="C35" s="130"/>
      <c r="E35" s="129">
        <f t="shared" ref="E35:S35" si="25">SUM(E22:E33)</f>
        <v>506281</v>
      </c>
      <c r="F35" s="129">
        <f t="shared" si="25"/>
        <v>522411.39499999996</v>
      </c>
      <c r="G35" s="129">
        <f t="shared" si="25"/>
        <v>539104.87062499986</v>
      </c>
      <c r="H35" s="129">
        <f t="shared" si="25"/>
        <v>556381.09020087495</v>
      </c>
      <c r="I35" s="129">
        <f t="shared" si="25"/>
        <v>574260.40393502545</v>
      </c>
      <c r="J35" s="129">
        <f t="shared" si="25"/>
        <v>592763.87291718484</v>
      </c>
      <c r="K35" s="129">
        <f t="shared" si="25"/>
        <v>611913.29395905277</v>
      </c>
      <c r="L35" s="129">
        <f t="shared" si="25"/>
        <v>631731.22530207946</v>
      </c>
      <c r="M35" s="129">
        <f t="shared" si="25"/>
        <v>652241.01322374551</v>
      </c>
      <c r="N35" s="129">
        <f t="shared" si="25"/>
        <v>673466.81957375258</v>
      </c>
      <c r="O35" s="129">
        <f t="shared" si="25"/>
        <v>695433.65027262538</v>
      </c>
      <c r="P35" s="129">
        <f t="shared" si="25"/>
        <v>718167.38480637246</v>
      </c>
      <c r="Q35" s="129">
        <f t="shared" si="25"/>
        <v>741694.8067520269</v>
      </c>
      <c r="R35" s="129">
        <f t="shared" si="25"/>
        <v>766043.6353701019</v>
      </c>
      <c r="S35" s="129">
        <f t="shared" si="25"/>
        <v>791242.55830126244</v>
      </c>
    </row>
    <row r="36" spans="1:19" s="117" customFormat="1" ht="14">
      <c r="C36" s="126"/>
      <c r="E36" s="128"/>
      <c r="F36" s="128"/>
      <c r="G36" s="128"/>
      <c r="H36" s="128"/>
      <c r="I36" s="128"/>
      <c r="J36" s="128"/>
      <c r="K36" s="128"/>
      <c r="L36" s="128"/>
      <c r="M36" s="128"/>
      <c r="N36" s="128"/>
      <c r="O36" s="128"/>
      <c r="P36" s="128"/>
      <c r="Q36" s="128"/>
      <c r="R36" s="128"/>
      <c r="S36" s="128"/>
    </row>
    <row r="37" spans="1:19" s="129" customFormat="1" ht="14">
      <c r="A37" s="129" t="s">
        <v>2733</v>
      </c>
      <c r="C37" s="130"/>
      <c r="E37" s="129">
        <f t="shared" ref="E37:S37" si="26">E11-E35</f>
        <v>140110.28860759491</v>
      </c>
      <c r="F37" s="129">
        <f t="shared" si="26"/>
        <v>140139.67582278472</v>
      </c>
      <c r="G37" s="129">
        <f t="shared" si="26"/>
        <v>140009.97696835443</v>
      </c>
      <c r="H37" s="129">
        <f t="shared" si="26"/>
        <v>139711.62858231319</v>
      </c>
      <c r="I37" s="129">
        <f t="shared" si="26"/>
        <v>139234.6328177423</v>
      </c>
      <c r="J37" s="129">
        <f t="shared" si="26"/>
        <v>138568.53975440224</v>
      </c>
      <c r="K37" s="129">
        <f t="shared" si="26"/>
        <v>137702.42902932374</v>
      </c>
      <c r="L37" s="129">
        <f t="shared" si="26"/>
        <v>136624.89076100639</v>
      </c>
      <c r="M37" s="129">
        <f t="shared" si="26"/>
        <v>135324.0057409174</v>
      </c>
      <c r="N37" s="129">
        <f t="shared" si="26"/>
        <v>133787.32486502687</v>
      </c>
      <c r="O37" s="129">
        <f t="shared" si="26"/>
        <v>132001.84777712345</v>
      </c>
      <c r="P37" s="129">
        <f t="shared" si="26"/>
        <v>129954.00069462007</v>
      </c>
      <c r="Q37" s="129">
        <f t="shared" si="26"/>
        <v>127629.61338649038</v>
      </c>
      <c r="R37" s="129">
        <f t="shared" si="26"/>
        <v>125013.89527187822</v>
      </c>
      <c r="S37" s="129">
        <f t="shared" si="26"/>
        <v>122091.41060676693</v>
      </c>
    </row>
    <row r="38" spans="1:19" s="117" customFormat="1" ht="14">
      <c r="C38" s="126"/>
      <c r="E38" s="128"/>
      <c r="F38" s="128"/>
      <c r="G38" s="128"/>
      <c r="H38" s="128"/>
      <c r="I38" s="128"/>
      <c r="J38" s="128"/>
      <c r="K38" s="128"/>
      <c r="L38" s="128"/>
      <c r="M38" s="128"/>
      <c r="N38" s="128"/>
      <c r="O38" s="128"/>
      <c r="P38" s="128"/>
      <c r="Q38" s="128"/>
      <c r="R38" s="128"/>
      <c r="S38" s="128"/>
    </row>
    <row r="39" spans="1:19" s="117" customFormat="1" ht="14">
      <c r="A39" s="124" t="s">
        <v>2734</v>
      </c>
      <c r="C39" s="126"/>
      <c r="E39" s="128"/>
      <c r="F39" s="128"/>
      <c r="G39" s="128"/>
      <c r="H39" s="128"/>
      <c r="I39" s="128"/>
      <c r="J39" s="128"/>
      <c r="K39" s="128"/>
      <c r="L39" s="128"/>
      <c r="M39" s="128"/>
      <c r="N39" s="128"/>
      <c r="O39" s="128"/>
      <c r="P39" s="128"/>
      <c r="Q39" s="128"/>
      <c r="R39" s="128"/>
      <c r="S39" s="128"/>
    </row>
    <row r="40" spans="1:19" s="117" customFormat="1" ht="14">
      <c r="A40" s="131" t="str">
        <f>Application!C627</f>
        <v>US Bank Perm Loan</v>
      </c>
      <c r="B40" s="132"/>
      <c r="C40" s="126"/>
      <c r="E40" s="128">
        <f>Application!AF627</f>
        <v>113119</v>
      </c>
      <c r="F40" s="128">
        <f t="shared" ref="F40:S40" si="27">$E$40</f>
        <v>113119</v>
      </c>
      <c r="G40" s="128">
        <f t="shared" si="27"/>
        <v>113119</v>
      </c>
      <c r="H40" s="128">
        <f t="shared" si="27"/>
        <v>113119</v>
      </c>
      <c r="I40" s="128">
        <f t="shared" si="27"/>
        <v>113119</v>
      </c>
      <c r="J40" s="128">
        <f t="shared" si="27"/>
        <v>113119</v>
      </c>
      <c r="K40" s="128">
        <f t="shared" si="27"/>
        <v>113119</v>
      </c>
      <c r="L40" s="128">
        <f t="shared" si="27"/>
        <v>113119</v>
      </c>
      <c r="M40" s="128">
        <f t="shared" si="27"/>
        <v>113119</v>
      </c>
      <c r="N40" s="128">
        <f t="shared" si="27"/>
        <v>113119</v>
      </c>
      <c r="O40" s="128">
        <f t="shared" si="27"/>
        <v>113119</v>
      </c>
      <c r="P40" s="128">
        <f t="shared" si="27"/>
        <v>113119</v>
      </c>
      <c r="Q40" s="128">
        <f t="shared" si="27"/>
        <v>113119</v>
      </c>
      <c r="R40" s="128">
        <f t="shared" si="27"/>
        <v>113119</v>
      </c>
      <c r="S40" s="128">
        <f t="shared" si="27"/>
        <v>113119</v>
      </c>
    </row>
    <row r="41" spans="1:19" s="117" customFormat="1" ht="14">
      <c r="A41" s="131"/>
      <c r="B41" s="132"/>
      <c r="C41" s="126"/>
      <c r="E41" s="128"/>
      <c r="F41" s="128">
        <f t="shared" ref="F41:S41" si="28">$E$41</f>
        <v>0</v>
      </c>
      <c r="G41" s="128">
        <f t="shared" si="28"/>
        <v>0</v>
      </c>
      <c r="H41" s="128">
        <f t="shared" si="28"/>
        <v>0</v>
      </c>
      <c r="I41" s="128">
        <f t="shared" si="28"/>
        <v>0</v>
      </c>
      <c r="J41" s="128">
        <f t="shared" si="28"/>
        <v>0</v>
      </c>
      <c r="K41" s="128">
        <f t="shared" si="28"/>
        <v>0</v>
      </c>
      <c r="L41" s="128">
        <f t="shared" si="28"/>
        <v>0</v>
      </c>
      <c r="M41" s="128">
        <f t="shared" si="28"/>
        <v>0</v>
      </c>
      <c r="N41" s="128">
        <f t="shared" si="28"/>
        <v>0</v>
      </c>
      <c r="O41" s="128">
        <f t="shared" si="28"/>
        <v>0</v>
      </c>
      <c r="P41" s="128">
        <f t="shared" si="28"/>
        <v>0</v>
      </c>
      <c r="Q41" s="128">
        <f t="shared" si="28"/>
        <v>0</v>
      </c>
      <c r="R41" s="128">
        <f t="shared" si="28"/>
        <v>0</v>
      </c>
      <c r="S41" s="128">
        <f t="shared" si="28"/>
        <v>0</v>
      </c>
    </row>
    <row r="42" spans="1:19" s="117" customFormat="1" ht="14">
      <c r="A42" s="131"/>
      <c r="B42" s="132"/>
      <c r="C42" s="126"/>
      <c r="E42" s="138"/>
      <c r="F42" s="138">
        <f t="shared" ref="F42:S42" si="29">$E$42</f>
        <v>0</v>
      </c>
      <c r="G42" s="138">
        <f t="shared" si="29"/>
        <v>0</v>
      </c>
      <c r="H42" s="138">
        <f t="shared" si="29"/>
        <v>0</v>
      </c>
      <c r="I42" s="138">
        <f t="shared" si="29"/>
        <v>0</v>
      </c>
      <c r="J42" s="138">
        <f t="shared" si="29"/>
        <v>0</v>
      </c>
      <c r="K42" s="138">
        <f t="shared" si="29"/>
        <v>0</v>
      </c>
      <c r="L42" s="138">
        <f t="shared" si="29"/>
        <v>0</v>
      </c>
      <c r="M42" s="138">
        <f t="shared" si="29"/>
        <v>0</v>
      </c>
      <c r="N42" s="138">
        <f t="shared" si="29"/>
        <v>0</v>
      </c>
      <c r="O42" s="138">
        <f t="shared" si="29"/>
        <v>0</v>
      </c>
      <c r="P42" s="138">
        <f t="shared" si="29"/>
        <v>0</v>
      </c>
      <c r="Q42" s="138">
        <f t="shared" si="29"/>
        <v>0</v>
      </c>
      <c r="R42" s="138">
        <f t="shared" si="29"/>
        <v>0</v>
      </c>
      <c r="S42" s="138">
        <f t="shared" si="29"/>
        <v>0</v>
      </c>
    </row>
    <row r="43" spans="1:19" s="129" customFormat="1" ht="14">
      <c r="A43" s="129" t="s">
        <v>2735</v>
      </c>
      <c r="C43" s="130"/>
      <c r="E43" s="129">
        <f t="shared" ref="E43:S43" si="30">SUM(E40:E42)</f>
        <v>113119</v>
      </c>
      <c r="F43" s="129">
        <f t="shared" si="30"/>
        <v>113119</v>
      </c>
      <c r="G43" s="129">
        <f t="shared" si="30"/>
        <v>113119</v>
      </c>
      <c r="H43" s="129">
        <f t="shared" si="30"/>
        <v>113119</v>
      </c>
      <c r="I43" s="129">
        <f t="shared" si="30"/>
        <v>113119</v>
      </c>
      <c r="J43" s="129">
        <f t="shared" si="30"/>
        <v>113119</v>
      </c>
      <c r="K43" s="129">
        <f t="shared" si="30"/>
        <v>113119</v>
      </c>
      <c r="L43" s="129">
        <f t="shared" si="30"/>
        <v>113119</v>
      </c>
      <c r="M43" s="129">
        <f t="shared" si="30"/>
        <v>113119</v>
      </c>
      <c r="N43" s="129">
        <f t="shared" si="30"/>
        <v>113119</v>
      </c>
      <c r="O43" s="129">
        <f t="shared" si="30"/>
        <v>113119</v>
      </c>
      <c r="P43" s="129">
        <f t="shared" si="30"/>
        <v>113119</v>
      </c>
      <c r="Q43" s="129">
        <f t="shared" si="30"/>
        <v>113119</v>
      </c>
      <c r="R43" s="129">
        <f t="shared" si="30"/>
        <v>113119</v>
      </c>
      <c r="S43" s="129">
        <f t="shared" si="30"/>
        <v>113119</v>
      </c>
    </row>
    <row r="44" spans="1:19" s="117" customFormat="1" ht="14">
      <c r="C44" s="126"/>
      <c r="E44" s="128"/>
      <c r="F44" s="128"/>
      <c r="G44" s="128"/>
      <c r="H44" s="128"/>
      <c r="I44" s="128"/>
      <c r="J44" s="128"/>
      <c r="K44" s="128"/>
      <c r="L44" s="128"/>
      <c r="M44" s="128"/>
      <c r="N44" s="128"/>
      <c r="O44" s="128"/>
      <c r="P44" s="128"/>
      <c r="Q44" s="128"/>
      <c r="R44" s="128"/>
      <c r="S44" s="128"/>
    </row>
    <row r="45" spans="1:19" s="129" customFormat="1" ht="14">
      <c r="A45" s="129" t="s">
        <v>2736</v>
      </c>
      <c r="C45" s="130"/>
      <c r="E45" s="129">
        <f t="shared" ref="E45:S45" si="31">E37-E43</f>
        <v>26991.288607594906</v>
      </c>
      <c r="F45" s="129">
        <f t="shared" si="31"/>
        <v>27020.675822784717</v>
      </c>
      <c r="G45" s="129">
        <f t="shared" si="31"/>
        <v>26890.976968354429</v>
      </c>
      <c r="H45" s="129">
        <f t="shared" si="31"/>
        <v>26592.628582313191</v>
      </c>
      <c r="I45" s="129">
        <f t="shared" si="31"/>
        <v>26115.632817742298</v>
      </c>
      <c r="J45" s="129">
        <f t="shared" si="31"/>
        <v>25449.539754402242</v>
      </c>
      <c r="K45" s="129">
        <f t="shared" si="31"/>
        <v>24583.429029323743</v>
      </c>
      <c r="L45" s="129">
        <f t="shared" si="31"/>
        <v>23505.890761006391</v>
      </c>
      <c r="M45" s="129">
        <f t="shared" si="31"/>
        <v>22205.005740917404</v>
      </c>
      <c r="N45" s="129">
        <f t="shared" si="31"/>
        <v>20668.324865026865</v>
      </c>
      <c r="O45" s="129">
        <f t="shared" si="31"/>
        <v>18882.847777123447</v>
      </c>
      <c r="P45" s="129">
        <f t="shared" si="31"/>
        <v>16835.000694620074</v>
      </c>
      <c r="Q45" s="129">
        <f t="shared" si="31"/>
        <v>14510.613386490382</v>
      </c>
      <c r="R45" s="129">
        <f t="shared" si="31"/>
        <v>11894.895271878224</v>
      </c>
      <c r="S45" s="129">
        <f t="shared" si="31"/>
        <v>8972.4106067669345</v>
      </c>
    </row>
    <row r="46" spans="1:19" s="117" customFormat="1" ht="14">
      <c r="C46" s="126"/>
      <c r="E46" s="128"/>
      <c r="F46" s="128"/>
      <c r="G46" s="128"/>
      <c r="H46" s="128"/>
      <c r="I46" s="128"/>
      <c r="J46" s="128"/>
      <c r="K46" s="128"/>
      <c r="L46" s="128"/>
      <c r="M46" s="128"/>
      <c r="N46" s="128"/>
      <c r="O46" s="128"/>
      <c r="P46" s="128"/>
      <c r="Q46" s="128"/>
      <c r="R46" s="128"/>
      <c r="S46" s="128"/>
    </row>
    <row r="47" spans="1:19" s="133" customFormat="1" ht="14">
      <c r="A47" s="133" t="s">
        <v>2737</v>
      </c>
      <c r="C47" s="126"/>
      <c r="E47" s="133">
        <f t="shared" ref="E47:S47" si="32">E45/(E4+E6+E8)</f>
        <v>3.9034761706391197E-2</v>
      </c>
      <c r="F47" s="133">
        <f t="shared" si="32"/>
        <v>3.8124157515688741E-2</v>
      </c>
      <c r="G47" s="133">
        <f t="shared" si="32"/>
        <v>3.7015767911410535E-2</v>
      </c>
      <c r="H47" s="133">
        <f t="shared" si="32"/>
        <v>3.5712280591934417E-2</v>
      </c>
      <c r="I47" s="133">
        <f t="shared" si="32"/>
        <v>3.4216296908298402E-2</v>
      </c>
      <c r="J47" s="133">
        <f t="shared" si="32"/>
        <v>3.2530333767603531E-2</v>
      </c>
      <c r="K47" s="133">
        <f t="shared" si="32"/>
        <v>3.0656825488017313E-2</v>
      </c>
      <c r="L47" s="133">
        <f t="shared" si="32"/>
        <v>2.859812560654031E-2</v>
      </c>
      <c r="M47" s="133">
        <f t="shared" si="32"/>
        <v>2.6356508640664474E-2</v>
      </c>
      <c r="N47" s="133">
        <f t="shared" si="32"/>
        <v>2.3934171805028968E-2</v>
      </c>
      <c r="O47" s="133">
        <f t="shared" si="32"/>
        <v>2.1333236684154638E-2</v>
      </c>
      <c r="P47" s="133">
        <f t="shared" si="32"/>
        <v>1.8555750862306396E-2</v>
      </c>
      <c r="Q47" s="133">
        <f t="shared" si="32"/>
        <v>1.5603689511506187E-2</v>
      </c>
      <c r="R47" s="133">
        <f t="shared" si="32"/>
        <v>1.2478956938702023E-2</v>
      </c>
      <c r="S47" s="133">
        <f t="shared" si="32"/>
        <v>9.1833880930630076E-3</v>
      </c>
    </row>
    <row r="48" spans="1:19" s="133" customFormat="1" ht="14">
      <c r="A48" s="133" t="s">
        <v>2738</v>
      </c>
      <c r="C48" s="126"/>
      <c r="E48" s="133">
        <f t="shared" ref="E48:S48" si="33">E45/E43</f>
        <v>0.23860968190661963</v>
      </c>
      <c r="F48" s="133">
        <f t="shared" si="33"/>
        <v>0.23886947217341664</v>
      </c>
      <c r="G48" s="133">
        <f t="shared" si="33"/>
        <v>0.23772290215042946</v>
      </c>
      <c r="H48" s="133">
        <f t="shared" si="33"/>
        <v>0.23508542846306271</v>
      </c>
      <c r="I48" s="133">
        <f t="shared" si="33"/>
        <v>0.23086866766628328</v>
      </c>
      <c r="J48" s="133">
        <f t="shared" si="33"/>
        <v>0.22498023987484192</v>
      </c>
      <c r="K48" s="133">
        <f t="shared" si="33"/>
        <v>0.2173236063731446</v>
      </c>
      <c r="L48" s="133">
        <f t="shared" si="33"/>
        <v>0.20779790098043999</v>
      </c>
      <c r="M48" s="133">
        <f t="shared" si="33"/>
        <v>0.19629775493875834</v>
      </c>
      <c r="N48" s="133">
        <f t="shared" si="33"/>
        <v>0.18271311508258439</v>
      </c>
      <c r="O48" s="133">
        <f t="shared" si="33"/>
        <v>0.16692905504047462</v>
      </c>
      <c r="P48" s="133">
        <f t="shared" si="33"/>
        <v>0.14882557920968248</v>
      </c>
      <c r="Q48" s="133">
        <f t="shared" si="33"/>
        <v>0.12827741923541033</v>
      </c>
      <c r="R48" s="133">
        <f t="shared" si="33"/>
        <v>0.10515382271659247</v>
      </c>
      <c r="S48" s="133">
        <f t="shared" si="33"/>
        <v>7.9318333849900849E-2</v>
      </c>
    </row>
    <row r="49" spans="1:16384" s="134" customFormat="1" ht="14">
      <c r="A49" s="134" t="s">
        <v>2289</v>
      </c>
      <c r="C49" s="135"/>
      <c r="E49" s="134">
        <f t="shared" ref="E49:S49" si="34">E37/E43</f>
        <v>1.2386096819066197</v>
      </c>
      <c r="F49" s="134">
        <f t="shared" si="34"/>
        <v>1.2388694721734166</v>
      </c>
      <c r="G49" s="134">
        <f t="shared" si="34"/>
        <v>1.2377229021504295</v>
      </c>
      <c r="H49" s="134">
        <f t="shared" si="34"/>
        <v>1.2350854284630628</v>
      </c>
      <c r="I49" s="134">
        <f t="shared" si="34"/>
        <v>1.2308686676662832</v>
      </c>
      <c r="J49" s="134">
        <f t="shared" si="34"/>
        <v>1.2249802398748419</v>
      </c>
      <c r="K49" s="134">
        <f t="shared" si="34"/>
        <v>1.2173236063731445</v>
      </c>
      <c r="L49" s="134">
        <f t="shared" si="34"/>
        <v>1.20779790098044</v>
      </c>
      <c r="M49" s="134">
        <f t="shared" si="34"/>
        <v>1.1962977549387583</v>
      </c>
      <c r="N49" s="134">
        <f t="shared" si="34"/>
        <v>1.1827131150825845</v>
      </c>
      <c r="O49" s="134">
        <f t="shared" si="34"/>
        <v>1.1669290550404745</v>
      </c>
      <c r="P49" s="134">
        <f t="shared" si="34"/>
        <v>1.1488255792096824</v>
      </c>
      <c r="Q49" s="134">
        <f t="shared" si="34"/>
        <v>1.1282774192354104</v>
      </c>
      <c r="R49" s="134">
        <f t="shared" si="34"/>
        <v>1.1051538227165925</v>
      </c>
      <c r="S49" s="134">
        <f t="shared" si="34"/>
        <v>1.0793183338499008</v>
      </c>
    </row>
    <row r="50" spans="1:16384" s="117" customFormat="1" ht="14">
      <c r="A50" s="136"/>
      <c r="B50" s="136"/>
      <c r="C50" s="137"/>
      <c r="D50" s="136"/>
      <c r="E50" s="138"/>
      <c r="F50" s="138"/>
      <c r="G50" s="138"/>
      <c r="H50" s="138"/>
      <c r="I50" s="138"/>
      <c r="J50" s="138"/>
      <c r="K50" s="138"/>
      <c r="L50" s="138"/>
      <c r="M50" s="138"/>
      <c r="N50" s="138"/>
      <c r="O50" s="138"/>
      <c r="P50" s="138"/>
      <c r="Q50" s="138"/>
      <c r="R50" s="138"/>
      <c r="S50" s="138"/>
    </row>
    <row r="51" spans="1:16384" s="2" customFormat="1">
      <c r="A51" s="2" t="s">
        <v>2739</v>
      </c>
      <c r="C51" s="761"/>
      <c r="E51" s="760"/>
      <c r="F51" s="760"/>
      <c r="G51" s="760"/>
      <c r="H51" s="760"/>
      <c r="I51" s="760"/>
      <c r="J51" s="760"/>
      <c r="K51" s="760"/>
      <c r="L51" s="760"/>
      <c r="M51" s="760"/>
      <c r="N51" s="760"/>
      <c r="O51" s="760"/>
      <c r="P51" s="760"/>
      <c r="Q51" s="760"/>
      <c r="R51" s="760"/>
      <c r="S51" s="760"/>
    </row>
    <row r="52" spans="1:16384" s="2" customFormat="1">
      <c r="A52" s="2621" t="s">
        <v>2740</v>
      </c>
      <c r="B52" s="2621"/>
      <c r="C52" s="2621"/>
      <c r="D52" s="760"/>
      <c r="E52" s="760"/>
      <c r="F52" s="760"/>
      <c r="G52" s="760"/>
      <c r="H52" s="760"/>
      <c r="I52" s="760"/>
      <c r="J52" s="760"/>
      <c r="K52" s="760"/>
      <c r="L52" s="760"/>
      <c r="M52" s="760"/>
      <c r="N52" s="760"/>
      <c r="O52" s="760"/>
      <c r="P52" s="760"/>
      <c r="Q52" s="760"/>
      <c r="R52" s="760"/>
      <c r="S52" s="760"/>
    </row>
    <row r="53" spans="1:16384" s="2" customFormat="1">
      <c r="A53" s="2" t="s">
        <v>2741</v>
      </c>
      <c r="C53" s="1215">
        <v>1.03</v>
      </c>
      <c r="E53" s="760">
        <v>7500</v>
      </c>
      <c r="F53" s="760">
        <f>+MIN(E53*$C$53,F45)</f>
        <v>7725</v>
      </c>
      <c r="G53" s="760">
        <f t="shared" ref="G53:S53" si="35">+MIN(F53*$C$53,G45)</f>
        <v>7956.75</v>
      </c>
      <c r="H53" s="760">
        <f t="shared" si="35"/>
        <v>8195.4524999999994</v>
      </c>
      <c r="I53" s="760">
        <f t="shared" si="35"/>
        <v>8441.3160749999988</v>
      </c>
      <c r="J53" s="760">
        <f t="shared" si="35"/>
        <v>8694.5555572499998</v>
      </c>
      <c r="K53" s="760">
        <f t="shared" si="35"/>
        <v>8955.3922239674994</v>
      </c>
      <c r="L53" s="760">
        <f t="shared" si="35"/>
        <v>9224.0539906865251</v>
      </c>
      <c r="M53" s="760">
        <f t="shared" si="35"/>
        <v>9500.7756104071213</v>
      </c>
      <c r="N53" s="760">
        <f t="shared" si="35"/>
        <v>9785.7988787193353</v>
      </c>
      <c r="O53" s="760">
        <f t="shared" si="35"/>
        <v>10079.372845080916</v>
      </c>
      <c r="P53" s="760">
        <f t="shared" si="35"/>
        <v>10381.754030433343</v>
      </c>
      <c r="Q53" s="760">
        <f t="shared" si="35"/>
        <v>10693.206651346343</v>
      </c>
      <c r="R53" s="760">
        <f t="shared" si="35"/>
        <v>11014.002850886734</v>
      </c>
      <c r="S53" s="760">
        <f t="shared" si="35"/>
        <v>8972.4106067669345</v>
      </c>
      <c r="T53" s="760">
        <f t="shared" ref="T53:BR53" si="36">+S53*$C$53</f>
        <v>9241.5829249699436</v>
      </c>
      <c r="U53" s="760">
        <f t="shared" si="36"/>
        <v>9518.8304127190422</v>
      </c>
      <c r="V53" s="760">
        <f t="shared" si="36"/>
        <v>9804.3953251006133</v>
      </c>
      <c r="W53" s="760">
        <f t="shared" si="36"/>
        <v>10098.527184853632</v>
      </c>
      <c r="X53" s="760">
        <f t="shared" si="36"/>
        <v>10401.483000399241</v>
      </c>
      <c r="Y53" s="760">
        <f t="shared" si="36"/>
        <v>10713.527490411219</v>
      </c>
      <c r="Z53" s="760">
        <f t="shared" si="36"/>
        <v>11034.933315123557</v>
      </c>
      <c r="AA53" s="760">
        <f t="shared" si="36"/>
        <v>11365.981314577264</v>
      </c>
      <c r="AB53" s="760">
        <f t="shared" si="36"/>
        <v>11706.960754014583</v>
      </c>
      <c r="AC53" s="760">
        <f t="shared" si="36"/>
        <v>12058.16957663502</v>
      </c>
      <c r="AD53" s="760">
        <f t="shared" si="36"/>
        <v>12419.914663934071</v>
      </c>
      <c r="AE53" s="760">
        <f t="shared" si="36"/>
        <v>12792.512103852094</v>
      </c>
      <c r="AF53" s="760">
        <f t="shared" si="36"/>
        <v>13176.287466967657</v>
      </c>
      <c r="AG53" s="760">
        <f t="shared" si="36"/>
        <v>13571.576090976687</v>
      </c>
      <c r="AH53" s="760">
        <f t="shared" si="36"/>
        <v>13978.723373705987</v>
      </c>
      <c r="AI53" s="760">
        <f t="shared" si="36"/>
        <v>14398.085074917168</v>
      </c>
      <c r="AJ53" s="760">
        <f t="shared" si="36"/>
        <v>14830.027627164684</v>
      </c>
      <c r="AK53" s="760">
        <f t="shared" si="36"/>
        <v>15274.928455979625</v>
      </c>
      <c r="AL53" s="760">
        <f t="shared" si="36"/>
        <v>15733.176309659015</v>
      </c>
      <c r="AM53" s="760">
        <f t="shared" si="36"/>
        <v>16205.171598948786</v>
      </c>
      <c r="AN53" s="760">
        <f t="shared" si="36"/>
        <v>16691.32674691725</v>
      </c>
      <c r="AO53" s="760">
        <f t="shared" si="36"/>
        <v>17192.066549324769</v>
      </c>
      <c r="AP53" s="760">
        <f t="shared" si="36"/>
        <v>17707.828545804514</v>
      </c>
      <c r="AQ53" s="760">
        <f t="shared" si="36"/>
        <v>18239.06340217865</v>
      </c>
      <c r="AR53" s="760">
        <f t="shared" si="36"/>
        <v>18786.235304244012</v>
      </c>
      <c r="AS53" s="760">
        <f t="shared" si="36"/>
        <v>19349.822363371331</v>
      </c>
      <c r="AT53" s="760">
        <f t="shared" si="36"/>
        <v>19930.317034272473</v>
      </c>
      <c r="AU53" s="760">
        <f t="shared" si="36"/>
        <v>20528.226545300648</v>
      </c>
      <c r="AV53" s="760">
        <f t="shared" si="36"/>
        <v>21144.073341659667</v>
      </c>
      <c r="AW53" s="760">
        <f t="shared" si="36"/>
        <v>21778.395541909456</v>
      </c>
      <c r="AX53" s="760">
        <f t="shared" si="36"/>
        <v>22431.747408166742</v>
      </c>
      <c r="AY53" s="760">
        <f t="shared" si="36"/>
        <v>23104.699830411744</v>
      </c>
      <c r="AZ53" s="760">
        <f t="shared" si="36"/>
        <v>23797.840825324096</v>
      </c>
      <c r="BA53" s="760">
        <f t="shared" si="36"/>
        <v>24511.776050083819</v>
      </c>
      <c r="BB53" s="760">
        <f t="shared" si="36"/>
        <v>25247.129331586333</v>
      </c>
      <c r="BC53" s="760">
        <f t="shared" si="36"/>
        <v>26004.543211533924</v>
      </c>
      <c r="BD53" s="760">
        <f t="shared" si="36"/>
        <v>26784.679507879944</v>
      </c>
      <c r="BE53" s="760">
        <f t="shared" si="36"/>
        <v>27588.219893116344</v>
      </c>
      <c r="BF53" s="760">
        <f t="shared" si="36"/>
        <v>28415.866489909837</v>
      </c>
      <c r="BG53" s="760">
        <f t="shared" si="36"/>
        <v>29268.342484607132</v>
      </c>
      <c r="BH53" s="760">
        <f t="shared" si="36"/>
        <v>30146.392759145347</v>
      </c>
      <c r="BI53" s="760">
        <f t="shared" si="36"/>
        <v>31050.784541919707</v>
      </c>
      <c r="BJ53" s="760">
        <f t="shared" si="36"/>
        <v>31982.308078177299</v>
      </c>
      <c r="BK53" s="760">
        <f t="shared" si="36"/>
        <v>32941.777320522619</v>
      </c>
      <c r="BL53" s="760">
        <f t="shared" si="36"/>
        <v>33930.030640138299</v>
      </c>
      <c r="BM53" s="760">
        <f t="shared" si="36"/>
        <v>34947.931559342447</v>
      </c>
      <c r="BN53" s="760">
        <f t="shared" si="36"/>
        <v>35996.369506122719</v>
      </c>
      <c r="BO53" s="760">
        <f t="shared" si="36"/>
        <v>37076.260591306404</v>
      </c>
      <c r="BP53" s="760">
        <f t="shared" si="36"/>
        <v>38188.548409045594</v>
      </c>
      <c r="BQ53" s="760">
        <f t="shared" si="36"/>
        <v>39334.204861316961</v>
      </c>
      <c r="BR53" s="760">
        <f t="shared" si="36"/>
        <v>40514.231007156472</v>
      </c>
      <c r="BS53" s="760">
        <f t="shared" ref="BS53:ED53" si="37">+BR53*$C$53</f>
        <v>41729.657937371165</v>
      </c>
      <c r="BT53" s="760">
        <f t="shared" si="37"/>
        <v>42981.5476754923</v>
      </c>
      <c r="BU53" s="760">
        <f t="shared" si="37"/>
        <v>44270.994105757069</v>
      </c>
      <c r="BV53" s="760">
        <f t="shared" si="37"/>
        <v>45599.123928929781</v>
      </c>
      <c r="BW53" s="760">
        <f t="shared" si="37"/>
        <v>46967.097646797672</v>
      </c>
      <c r="BX53" s="760">
        <f t="shared" si="37"/>
        <v>48376.110576201601</v>
      </c>
      <c r="BY53" s="760">
        <f t="shared" si="37"/>
        <v>49827.39389348765</v>
      </c>
      <c r="BZ53" s="760">
        <f t="shared" si="37"/>
        <v>51322.215710292279</v>
      </c>
      <c r="CA53" s="760">
        <f t="shared" si="37"/>
        <v>52861.882181601046</v>
      </c>
      <c r="CB53" s="760">
        <f t="shared" si="37"/>
        <v>54447.738647049082</v>
      </c>
      <c r="CC53" s="760">
        <f t="shared" si="37"/>
        <v>56081.170806460555</v>
      </c>
      <c r="CD53" s="760">
        <f t="shared" si="37"/>
        <v>57763.605930654376</v>
      </c>
      <c r="CE53" s="760">
        <f t="shared" si="37"/>
        <v>59496.514108574011</v>
      </c>
      <c r="CF53" s="760">
        <f t="shared" si="37"/>
        <v>61281.409531831232</v>
      </c>
      <c r="CG53" s="760">
        <f t="shared" si="37"/>
        <v>63119.85181778617</v>
      </c>
      <c r="CH53" s="760">
        <f t="shared" si="37"/>
        <v>65013.447372319759</v>
      </c>
      <c r="CI53" s="760">
        <f t="shared" si="37"/>
        <v>66963.850793489357</v>
      </c>
      <c r="CJ53" s="760">
        <f t="shared" si="37"/>
        <v>68972.766317294037</v>
      </c>
      <c r="CK53" s="760">
        <f t="shared" si="37"/>
        <v>71041.949306812865</v>
      </c>
      <c r="CL53" s="760">
        <f t="shared" si="37"/>
        <v>73173.207786017258</v>
      </c>
      <c r="CM53" s="760">
        <f t="shared" si="37"/>
        <v>75368.404019597772</v>
      </c>
      <c r="CN53" s="760">
        <f t="shared" si="37"/>
        <v>77629.456140185706</v>
      </c>
      <c r="CO53" s="760">
        <f t="shared" si="37"/>
        <v>79958.339824391282</v>
      </c>
      <c r="CP53" s="760">
        <f t="shared" si="37"/>
        <v>82357.090019123018</v>
      </c>
      <c r="CQ53" s="760">
        <f t="shared" si="37"/>
        <v>84827.802719696716</v>
      </c>
      <c r="CR53" s="760">
        <f t="shared" si="37"/>
        <v>87372.636801287619</v>
      </c>
      <c r="CS53" s="760">
        <f t="shared" si="37"/>
        <v>89993.81590532625</v>
      </c>
      <c r="CT53" s="760">
        <f t="shared" si="37"/>
        <v>92693.630382486037</v>
      </c>
      <c r="CU53" s="760">
        <f t="shared" si="37"/>
        <v>95474.439293960619</v>
      </c>
      <c r="CV53" s="760">
        <f t="shared" si="37"/>
        <v>98338.672472779435</v>
      </c>
      <c r="CW53" s="760">
        <f t="shared" si="37"/>
        <v>101288.83264696282</v>
      </c>
      <c r="CX53" s="760">
        <f t="shared" si="37"/>
        <v>104327.49762637171</v>
      </c>
      <c r="CY53" s="760">
        <f t="shared" si="37"/>
        <v>107457.32255516287</v>
      </c>
      <c r="CZ53" s="760">
        <f t="shared" si="37"/>
        <v>110681.04223181776</v>
      </c>
      <c r="DA53" s="760">
        <f t="shared" si="37"/>
        <v>114001.47349877229</v>
      </c>
      <c r="DB53" s="760">
        <f t="shared" si="37"/>
        <v>117421.51770373546</v>
      </c>
      <c r="DC53" s="760">
        <f t="shared" si="37"/>
        <v>120944.16323484753</v>
      </c>
      <c r="DD53" s="760">
        <f t="shared" si="37"/>
        <v>124572.48813189295</v>
      </c>
      <c r="DE53" s="760">
        <f t="shared" si="37"/>
        <v>128309.66277584975</v>
      </c>
      <c r="DF53" s="760">
        <f t="shared" si="37"/>
        <v>132158.95265912524</v>
      </c>
      <c r="DG53" s="760">
        <f t="shared" si="37"/>
        <v>136123.72123889899</v>
      </c>
      <c r="DH53" s="760">
        <f t="shared" si="37"/>
        <v>140207.43287606596</v>
      </c>
      <c r="DI53" s="760">
        <f t="shared" si="37"/>
        <v>144413.65586234795</v>
      </c>
      <c r="DJ53" s="760">
        <f t="shared" si="37"/>
        <v>148746.06553821839</v>
      </c>
      <c r="DK53" s="760">
        <f t="shared" si="37"/>
        <v>153208.44750436494</v>
      </c>
      <c r="DL53" s="760">
        <f t="shared" si="37"/>
        <v>157804.70092949588</v>
      </c>
      <c r="DM53" s="760">
        <f t="shared" si="37"/>
        <v>162538.84195738076</v>
      </c>
      <c r="DN53" s="760">
        <f t="shared" si="37"/>
        <v>167415.00721610218</v>
      </c>
      <c r="DO53" s="760">
        <f t="shared" si="37"/>
        <v>172437.45743258524</v>
      </c>
      <c r="DP53" s="760">
        <f t="shared" si="37"/>
        <v>177610.5811555628</v>
      </c>
      <c r="DQ53" s="760">
        <f t="shared" si="37"/>
        <v>182938.89859022968</v>
      </c>
      <c r="DR53" s="760">
        <f t="shared" si="37"/>
        <v>188427.06554793657</v>
      </c>
      <c r="DS53" s="760">
        <f t="shared" si="37"/>
        <v>194079.87751437468</v>
      </c>
      <c r="DT53" s="760">
        <f t="shared" si="37"/>
        <v>199902.27383980592</v>
      </c>
      <c r="DU53" s="760">
        <f t="shared" si="37"/>
        <v>205899.3420550001</v>
      </c>
      <c r="DV53" s="760">
        <f t="shared" si="37"/>
        <v>212076.3223166501</v>
      </c>
      <c r="DW53" s="760">
        <f t="shared" si="37"/>
        <v>218438.6119861496</v>
      </c>
      <c r="DX53" s="760">
        <f t="shared" si="37"/>
        <v>224991.77034573408</v>
      </c>
      <c r="DY53" s="760">
        <f t="shared" si="37"/>
        <v>231741.52345610611</v>
      </c>
      <c r="DZ53" s="760">
        <f t="shared" si="37"/>
        <v>238693.76915978928</v>
      </c>
      <c r="EA53" s="760">
        <f t="shared" si="37"/>
        <v>245854.58223458298</v>
      </c>
      <c r="EB53" s="760">
        <f t="shared" si="37"/>
        <v>253230.21970162049</v>
      </c>
      <c r="EC53" s="760">
        <f t="shared" si="37"/>
        <v>260827.1262926691</v>
      </c>
      <c r="ED53" s="760">
        <f t="shared" si="37"/>
        <v>268651.94008144917</v>
      </c>
      <c r="EE53" s="760">
        <f t="shared" ref="EE53:GP53" si="38">+ED53*$C$53</f>
        <v>276711.49828389264</v>
      </c>
      <c r="EF53" s="760">
        <f t="shared" si="38"/>
        <v>285012.84323240945</v>
      </c>
      <c r="EG53" s="760">
        <f t="shared" si="38"/>
        <v>293563.22852938174</v>
      </c>
      <c r="EH53" s="760">
        <f t="shared" si="38"/>
        <v>302370.12538526318</v>
      </c>
      <c r="EI53" s="760">
        <f t="shared" si="38"/>
        <v>311441.22914682108</v>
      </c>
      <c r="EJ53" s="760">
        <f t="shared" si="38"/>
        <v>320784.46602122573</v>
      </c>
      <c r="EK53" s="760">
        <f t="shared" si="38"/>
        <v>330408.00000186253</v>
      </c>
      <c r="EL53" s="760">
        <f t="shared" si="38"/>
        <v>340320.2400019184</v>
      </c>
      <c r="EM53" s="760">
        <f t="shared" si="38"/>
        <v>350529.84720197594</v>
      </c>
      <c r="EN53" s="760">
        <f t="shared" si="38"/>
        <v>361045.74261803523</v>
      </c>
      <c r="EO53" s="760">
        <f t="shared" si="38"/>
        <v>371877.11489657633</v>
      </c>
      <c r="EP53" s="760">
        <f t="shared" si="38"/>
        <v>383033.42834347364</v>
      </c>
      <c r="EQ53" s="760">
        <f t="shared" si="38"/>
        <v>394524.43119377788</v>
      </c>
      <c r="ER53" s="760">
        <f t="shared" si="38"/>
        <v>406360.16412959126</v>
      </c>
      <c r="ES53" s="760">
        <f t="shared" si="38"/>
        <v>418550.96905347903</v>
      </c>
      <c r="ET53" s="760">
        <f t="shared" si="38"/>
        <v>431107.4981250834</v>
      </c>
      <c r="EU53" s="760">
        <f t="shared" si="38"/>
        <v>444040.72306883591</v>
      </c>
      <c r="EV53" s="760">
        <f t="shared" si="38"/>
        <v>457361.94476090098</v>
      </c>
      <c r="EW53" s="760">
        <f t="shared" si="38"/>
        <v>471082.80310372805</v>
      </c>
      <c r="EX53" s="760">
        <f t="shared" si="38"/>
        <v>485215.28719683993</v>
      </c>
      <c r="EY53" s="760">
        <f t="shared" si="38"/>
        <v>499771.74581274512</v>
      </c>
      <c r="EZ53" s="760">
        <f t="shared" si="38"/>
        <v>514764.89818712749</v>
      </c>
      <c r="FA53" s="760">
        <f t="shared" si="38"/>
        <v>530207.84513274138</v>
      </c>
      <c r="FB53" s="760">
        <f t="shared" si="38"/>
        <v>546114.08048672369</v>
      </c>
      <c r="FC53" s="760">
        <f t="shared" si="38"/>
        <v>562497.50290132547</v>
      </c>
      <c r="FD53" s="760">
        <f t="shared" si="38"/>
        <v>579372.42798836529</v>
      </c>
      <c r="FE53" s="760">
        <f t="shared" si="38"/>
        <v>596753.60082801629</v>
      </c>
      <c r="FF53" s="760">
        <f t="shared" si="38"/>
        <v>614656.20885285677</v>
      </c>
      <c r="FG53" s="760">
        <f t="shared" si="38"/>
        <v>633095.89511844248</v>
      </c>
      <c r="FH53" s="760">
        <f t="shared" si="38"/>
        <v>652088.77197199583</v>
      </c>
      <c r="FI53" s="760">
        <f t="shared" si="38"/>
        <v>671651.43513115577</v>
      </c>
      <c r="FJ53" s="760">
        <f t="shared" si="38"/>
        <v>691800.97818509047</v>
      </c>
      <c r="FK53" s="760">
        <f t="shared" si="38"/>
        <v>712555.00753064326</v>
      </c>
      <c r="FL53" s="760">
        <f t="shared" si="38"/>
        <v>733931.65775656258</v>
      </c>
      <c r="FM53" s="760">
        <f t="shared" si="38"/>
        <v>755949.60748925945</v>
      </c>
      <c r="FN53" s="760">
        <f t="shared" si="38"/>
        <v>778628.09571393731</v>
      </c>
      <c r="FO53" s="760">
        <f t="shared" si="38"/>
        <v>801986.93858535541</v>
      </c>
      <c r="FP53" s="760">
        <f t="shared" si="38"/>
        <v>826046.54674291611</v>
      </c>
      <c r="FQ53" s="760">
        <f t="shared" si="38"/>
        <v>850827.94314520364</v>
      </c>
      <c r="FR53" s="760">
        <f t="shared" si="38"/>
        <v>876352.78143955977</v>
      </c>
      <c r="FS53" s="760">
        <f t="shared" si="38"/>
        <v>902643.36488274659</v>
      </c>
      <c r="FT53" s="760">
        <f t="shared" si="38"/>
        <v>929722.66582922905</v>
      </c>
      <c r="FU53" s="760">
        <f t="shared" si="38"/>
        <v>957614.34580410598</v>
      </c>
      <c r="FV53" s="760">
        <f t="shared" si="38"/>
        <v>986342.77617822913</v>
      </c>
      <c r="FW53" s="760">
        <f t="shared" si="38"/>
        <v>1015933.0594635761</v>
      </c>
      <c r="FX53" s="760">
        <f t="shared" si="38"/>
        <v>1046411.0512474834</v>
      </c>
      <c r="FY53" s="760">
        <f t="shared" si="38"/>
        <v>1077803.3827849079</v>
      </c>
      <c r="FZ53" s="760">
        <f t="shared" si="38"/>
        <v>1110137.4842684553</v>
      </c>
      <c r="GA53" s="760">
        <f t="shared" si="38"/>
        <v>1143441.608796509</v>
      </c>
      <c r="GB53" s="760">
        <f t="shared" si="38"/>
        <v>1177744.8570604043</v>
      </c>
      <c r="GC53" s="760">
        <f t="shared" si="38"/>
        <v>1213077.2027722164</v>
      </c>
      <c r="GD53" s="760">
        <f t="shared" si="38"/>
        <v>1249469.5188553829</v>
      </c>
      <c r="GE53" s="760">
        <f t="shared" si="38"/>
        <v>1286953.6044210445</v>
      </c>
      <c r="GF53" s="760">
        <f t="shared" si="38"/>
        <v>1325562.2125536758</v>
      </c>
      <c r="GG53" s="760">
        <f t="shared" si="38"/>
        <v>1365329.078930286</v>
      </c>
      <c r="GH53" s="760">
        <f t="shared" si="38"/>
        <v>1406288.9512981947</v>
      </c>
      <c r="GI53" s="760">
        <f t="shared" si="38"/>
        <v>1448477.6198371407</v>
      </c>
      <c r="GJ53" s="760">
        <f t="shared" si="38"/>
        <v>1491931.9484322548</v>
      </c>
      <c r="GK53" s="760">
        <f t="shared" si="38"/>
        <v>1536689.9068852225</v>
      </c>
      <c r="GL53" s="760">
        <f t="shared" si="38"/>
        <v>1582790.6040917793</v>
      </c>
      <c r="GM53" s="760">
        <f t="shared" si="38"/>
        <v>1630274.3222145326</v>
      </c>
      <c r="GN53" s="760">
        <f t="shared" si="38"/>
        <v>1679182.5518809687</v>
      </c>
      <c r="GO53" s="760">
        <f t="shared" si="38"/>
        <v>1729558.0284373979</v>
      </c>
      <c r="GP53" s="760">
        <f t="shared" si="38"/>
        <v>1781444.7692905199</v>
      </c>
      <c r="GQ53" s="760">
        <f t="shared" ref="GQ53:JB53" si="39">+GP53*$C$53</f>
        <v>1834888.1123692356</v>
      </c>
      <c r="GR53" s="760">
        <f t="shared" si="39"/>
        <v>1889934.7557403126</v>
      </c>
      <c r="GS53" s="760">
        <f t="shared" si="39"/>
        <v>1946632.7984125221</v>
      </c>
      <c r="GT53" s="760">
        <f t="shared" si="39"/>
        <v>2005031.7823648979</v>
      </c>
      <c r="GU53" s="760">
        <f t="shared" si="39"/>
        <v>2065182.7358358449</v>
      </c>
      <c r="GV53" s="760">
        <f t="shared" si="39"/>
        <v>2127138.2179109203</v>
      </c>
      <c r="GW53" s="760">
        <f t="shared" si="39"/>
        <v>2190952.3644482479</v>
      </c>
      <c r="GX53" s="760">
        <f t="shared" si="39"/>
        <v>2256680.9353816956</v>
      </c>
      <c r="GY53" s="760">
        <f t="shared" si="39"/>
        <v>2324381.3634431465</v>
      </c>
      <c r="GZ53" s="760">
        <f t="shared" si="39"/>
        <v>2394112.8043464408</v>
      </c>
      <c r="HA53" s="760">
        <f t="shared" si="39"/>
        <v>2465936.188476834</v>
      </c>
      <c r="HB53" s="760">
        <f t="shared" si="39"/>
        <v>2539914.2741311393</v>
      </c>
      <c r="HC53" s="760">
        <f t="shared" si="39"/>
        <v>2616111.7023550733</v>
      </c>
      <c r="HD53" s="760">
        <f t="shared" si="39"/>
        <v>2694595.0534257255</v>
      </c>
      <c r="HE53" s="760">
        <f t="shared" si="39"/>
        <v>2775432.9050284973</v>
      </c>
      <c r="HF53" s="760">
        <f t="shared" si="39"/>
        <v>2858695.8921793522</v>
      </c>
      <c r="HG53" s="760">
        <f t="shared" si="39"/>
        <v>2944456.7689447328</v>
      </c>
      <c r="HH53" s="760">
        <f t="shared" si="39"/>
        <v>3032790.4720130749</v>
      </c>
      <c r="HI53" s="760">
        <f t="shared" si="39"/>
        <v>3123774.1861734674</v>
      </c>
      <c r="HJ53" s="760">
        <f t="shared" si="39"/>
        <v>3217487.4117586715</v>
      </c>
      <c r="HK53" s="760">
        <f t="shared" si="39"/>
        <v>3314012.0341114318</v>
      </c>
      <c r="HL53" s="760">
        <f t="shared" si="39"/>
        <v>3413432.395134775</v>
      </c>
      <c r="HM53" s="760">
        <f t="shared" si="39"/>
        <v>3515835.3669888182</v>
      </c>
      <c r="HN53" s="760">
        <f t="shared" si="39"/>
        <v>3621310.4279984827</v>
      </c>
      <c r="HO53" s="760">
        <f t="shared" si="39"/>
        <v>3729949.7408384373</v>
      </c>
      <c r="HP53" s="760">
        <f t="shared" si="39"/>
        <v>3841848.2330635907</v>
      </c>
      <c r="HQ53" s="760">
        <f t="shared" si="39"/>
        <v>3957103.6800554986</v>
      </c>
      <c r="HR53" s="760">
        <f t="shared" si="39"/>
        <v>4075816.7904571635</v>
      </c>
      <c r="HS53" s="760">
        <f t="shared" si="39"/>
        <v>4198091.2941708788</v>
      </c>
      <c r="HT53" s="760">
        <f t="shared" si="39"/>
        <v>4324034.0329960054</v>
      </c>
      <c r="HU53" s="760">
        <f t="shared" si="39"/>
        <v>4453755.0539858853</v>
      </c>
      <c r="HV53" s="760">
        <f t="shared" si="39"/>
        <v>4587367.7056054622</v>
      </c>
      <c r="HW53" s="760">
        <f t="shared" si="39"/>
        <v>4724988.7367736259</v>
      </c>
      <c r="HX53" s="760">
        <f t="shared" si="39"/>
        <v>4866738.3988768347</v>
      </c>
      <c r="HY53" s="760">
        <f t="shared" si="39"/>
        <v>5012740.5508431401</v>
      </c>
      <c r="HZ53" s="760">
        <f t="shared" si="39"/>
        <v>5163122.767368434</v>
      </c>
      <c r="IA53" s="760">
        <f t="shared" si="39"/>
        <v>5318016.4503894867</v>
      </c>
      <c r="IB53" s="760">
        <f t="shared" si="39"/>
        <v>5477556.9439011719</v>
      </c>
      <c r="IC53" s="760">
        <f t="shared" si="39"/>
        <v>5641883.6522182068</v>
      </c>
      <c r="ID53" s="760">
        <f t="shared" si="39"/>
        <v>5811140.1617847532</v>
      </c>
      <c r="IE53" s="760">
        <f t="shared" si="39"/>
        <v>5985474.3666382963</v>
      </c>
      <c r="IF53" s="760">
        <f t="shared" si="39"/>
        <v>6165038.5976374457</v>
      </c>
      <c r="IG53" s="760">
        <f t="shared" si="39"/>
        <v>6349989.755566569</v>
      </c>
      <c r="IH53" s="760">
        <f t="shared" si="39"/>
        <v>6540489.4482335662</v>
      </c>
      <c r="II53" s="760">
        <f t="shared" si="39"/>
        <v>6736704.1316805733</v>
      </c>
      <c r="IJ53" s="760">
        <f t="shared" si="39"/>
        <v>6938805.2556309905</v>
      </c>
      <c r="IK53" s="760">
        <f t="shared" si="39"/>
        <v>7146969.41329992</v>
      </c>
      <c r="IL53" s="760">
        <f t="shared" si="39"/>
        <v>7361378.4956989177</v>
      </c>
      <c r="IM53" s="760">
        <f t="shared" si="39"/>
        <v>7582219.8505698852</v>
      </c>
      <c r="IN53" s="760">
        <f t="shared" si="39"/>
        <v>7809686.4460869823</v>
      </c>
      <c r="IO53" s="760">
        <f t="shared" si="39"/>
        <v>8043977.0394695923</v>
      </c>
      <c r="IP53" s="760">
        <f t="shared" si="39"/>
        <v>8285296.35065368</v>
      </c>
      <c r="IQ53" s="760">
        <f t="shared" si="39"/>
        <v>8533855.2411732916</v>
      </c>
      <c r="IR53" s="760">
        <f t="shared" si="39"/>
        <v>8789870.8984084912</v>
      </c>
      <c r="IS53" s="760">
        <f t="shared" si="39"/>
        <v>9053567.0253607463</v>
      </c>
      <c r="IT53" s="760">
        <f t="shared" si="39"/>
        <v>9325174.0361215696</v>
      </c>
      <c r="IU53" s="760">
        <f t="shared" si="39"/>
        <v>9604929.2572052162</v>
      </c>
      <c r="IV53" s="760">
        <f t="shared" si="39"/>
        <v>9893077.1349213738</v>
      </c>
      <c r="IW53" s="760">
        <f t="shared" si="39"/>
        <v>10189869.448969016</v>
      </c>
      <c r="IX53" s="760">
        <f t="shared" si="39"/>
        <v>10495565.532438086</v>
      </c>
      <c r="IY53" s="760">
        <f t="shared" si="39"/>
        <v>10810432.498411229</v>
      </c>
      <c r="IZ53" s="760">
        <f t="shared" si="39"/>
        <v>11134745.473363565</v>
      </c>
      <c r="JA53" s="760">
        <f t="shared" si="39"/>
        <v>11468787.837564472</v>
      </c>
      <c r="JB53" s="760">
        <f t="shared" si="39"/>
        <v>11812851.472691407</v>
      </c>
      <c r="JC53" s="760">
        <f t="shared" ref="JC53:LN53" si="40">+JB53*$C$53</f>
        <v>12167237.016872151</v>
      </c>
      <c r="JD53" s="760">
        <f t="shared" si="40"/>
        <v>12532254.127378317</v>
      </c>
      <c r="JE53" s="760">
        <f t="shared" si="40"/>
        <v>12908221.751199666</v>
      </c>
      <c r="JF53" s="760">
        <f t="shared" si="40"/>
        <v>13295468.403735656</v>
      </c>
      <c r="JG53" s="760">
        <f t="shared" si="40"/>
        <v>13694332.455847727</v>
      </c>
      <c r="JH53" s="760">
        <f t="shared" si="40"/>
        <v>14105162.429523159</v>
      </c>
      <c r="JI53" s="760">
        <f t="shared" si="40"/>
        <v>14528317.302408854</v>
      </c>
      <c r="JJ53" s="760">
        <f t="shared" si="40"/>
        <v>14964166.82148112</v>
      </c>
      <c r="JK53" s="760">
        <f t="shared" si="40"/>
        <v>15413091.826125555</v>
      </c>
      <c r="JL53" s="760">
        <f t="shared" si="40"/>
        <v>15875484.580909321</v>
      </c>
      <c r="JM53" s="760">
        <f t="shared" si="40"/>
        <v>16351749.118336601</v>
      </c>
      <c r="JN53" s="760">
        <f t="shared" si="40"/>
        <v>16842301.591886699</v>
      </c>
      <c r="JO53" s="760">
        <f t="shared" si="40"/>
        <v>17347570.6396433</v>
      </c>
      <c r="JP53" s="760">
        <f t="shared" si="40"/>
        <v>17867997.7588326</v>
      </c>
      <c r="JQ53" s="760">
        <f t="shared" si="40"/>
        <v>18404037.691597577</v>
      </c>
      <c r="JR53" s="760">
        <f t="shared" si="40"/>
        <v>18956158.822345506</v>
      </c>
      <c r="JS53" s="760">
        <f t="shared" si="40"/>
        <v>19524843.587015871</v>
      </c>
      <c r="JT53" s="760">
        <f t="shared" si="40"/>
        <v>20110588.894626349</v>
      </c>
      <c r="JU53" s="760">
        <f t="shared" si="40"/>
        <v>20713906.56146514</v>
      </c>
      <c r="JV53" s="760">
        <f t="shared" si="40"/>
        <v>21335323.758309096</v>
      </c>
      <c r="JW53" s="760">
        <f t="shared" si="40"/>
        <v>21975383.471058369</v>
      </c>
      <c r="JX53" s="760">
        <f t="shared" si="40"/>
        <v>22634644.975190122</v>
      </c>
      <c r="JY53" s="760">
        <f t="shared" si="40"/>
        <v>23313684.324445825</v>
      </c>
      <c r="JZ53" s="760">
        <f t="shared" si="40"/>
        <v>24013094.8541792</v>
      </c>
      <c r="KA53" s="760">
        <f t="shared" si="40"/>
        <v>24733487.699804578</v>
      </c>
      <c r="KB53" s="760">
        <f t="shared" si="40"/>
        <v>25475492.330798715</v>
      </c>
      <c r="KC53" s="760">
        <f t="shared" si="40"/>
        <v>26239757.100722678</v>
      </c>
      <c r="KD53" s="760">
        <f t="shared" si="40"/>
        <v>27026949.813744359</v>
      </c>
      <c r="KE53" s="760">
        <f t="shared" si="40"/>
        <v>27837758.308156691</v>
      </c>
      <c r="KF53" s="760">
        <f t="shared" si="40"/>
        <v>28672891.057401393</v>
      </c>
      <c r="KG53" s="760">
        <f t="shared" si="40"/>
        <v>29533077.789123435</v>
      </c>
      <c r="KH53" s="760">
        <f t="shared" si="40"/>
        <v>30419070.122797139</v>
      </c>
      <c r="KI53" s="760">
        <f t="shared" si="40"/>
        <v>31331642.226481054</v>
      </c>
      <c r="KJ53" s="760">
        <f t="shared" si="40"/>
        <v>32271591.493275486</v>
      </c>
      <c r="KK53" s="760">
        <f t="shared" si="40"/>
        <v>33239739.238073751</v>
      </c>
      <c r="KL53" s="760">
        <f t="shared" si="40"/>
        <v>34236931.415215962</v>
      </c>
      <c r="KM53" s="760">
        <f t="shared" si="40"/>
        <v>35264039.357672438</v>
      </c>
      <c r="KN53" s="760">
        <f t="shared" si="40"/>
        <v>36321960.53840261</v>
      </c>
      <c r="KO53" s="760">
        <f t="shared" si="40"/>
        <v>37411619.35455469</v>
      </c>
      <c r="KP53" s="760">
        <f t="shared" si="40"/>
        <v>38533967.935191333</v>
      </c>
      <c r="KQ53" s="760">
        <f t="shared" si="40"/>
        <v>39689986.973247074</v>
      </c>
      <c r="KR53" s="760">
        <f t="shared" si="40"/>
        <v>40880686.582444489</v>
      </c>
      <c r="KS53" s="760">
        <f t="shared" si="40"/>
        <v>42107107.179917827</v>
      </c>
      <c r="KT53" s="760">
        <f t="shared" si="40"/>
        <v>43370320.395315364</v>
      </c>
      <c r="KU53" s="760">
        <f t="shared" si="40"/>
        <v>44671430.007174827</v>
      </c>
      <c r="KV53" s="760">
        <f t="shared" si="40"/>
        <v>46011572.907390073</v>
      </c>
      <c r="KW53" s="760">
        <f t="shared" si="40"/>
        <v>47391920.094611779</v>
      </c>
      <c r="KX53" s="760">
        <f t="shared" si="40"/>
        <v>48813677.697450131</v>
      </c>
      <c r="KY53" s="760">
        <f t="shared" si="40"/>
        <v>50278088.028373636</v>
      </c>
      <c r="KZ53" s="760">
        <f t="shared" si="40"/>
        <v>51786430.669224843</v>
      </c>
      <c r="LA53" s="760">
        <f t="shared" si="40"/>
        <v>53340023.589301594</v>
      </c>
      <c r="LB53" s="760">
        <f t="shared" si="40"/>
        <v>54940224.296980642</v>
      </c>
      <c r="LC53" s="760">
        <f t="shared" si="40"/>
        <v>56588431.02589006</v>
      </c>
      <c r="LD53" s="760">
        <f t="shared" si="40"/>
        <v>58286083.95666676</v>
      </c>
      <c r="LE53" s="760">
        <f t="shared" si="40"/>
        <v>60034666.475366764</v>
      </c>
      <c r="LF53" s="760">
        <f t="shared" si="40"/>
        <v>61835706.469627768</v>
      </c>
      <c r="LG53" s="760">
        <f t="shared" si="40"/>
        <v>63690777.663716599</v>
      </c>
      <c r="LH53" s="760">
        <f t="shared" si="40"/>
        <v>65601500.9936281</v>
      </c>
      <c r="LI53" s="760">
        <f t="shared" si="40"/>
        <v>67569546.023436949</v>
      </c>
      <c r="LJ53" s="760">
        <f t="shared" si="40"/>
        <v>69596632.404140055</v>
      </c>
      <c r="LK53" s="760">
        <f t="shared" si="40"/>
        <v>71684531.376264259</v>
      </c>
      <c r="LL53" s="760">
        <f t="shared" si="40"/>
        <v>73835067.317552194</v>
      </c>
      <c r="LM53" s="760">
        <f t="shared" si="40"/>
        <v>76050119.337078765</v>
      </c>
      <c r="LN53" s="760">
        <f t="shared" si="40"/>
        <v>78331622.917191133</v>
      </c>
      <c r="LO53" s="760">
        <f t="shared" ref="LO53:NZ53" si="41">+LN53*$C$53</f>
        <v>80681571.604706869</v>
      </c>
      <c r="LP53" s="760">
        <f t="shared" si="41"/>
        <v>83102018.752848074</v>
      </c>
      <c r="LQ53" s="760">
        <f t="shared" si="41"/>
        <v>85595079.315433517</v>
      </c>
      <c r="LR53" s="760">
        <f t="shared" si="41"/>
        <v>88162931.694896519</v>
      </c>
      <c r="LS53" s="760">
        <f t="shared" si="41"/>
        <v>90807819.645743415</v>
      </c>
      <c r="LT53" s="760">
        <f t="shared" si="41"/>
        <v>93532054.235115722</v>
      </c>
      <c r="LU53" s="760">
        <f t="shared" si="41"/>
        <v>96338015.862169191</v>
      </c>
      <c r="LV53" s="760">
        <f t="shared" si="41"/>
        <v>99228156.338034272</v>
      </c>
      <c r="LW53" s="760">
        <f t="shared" si="41"/>
        <v>102205001.02817531</v>
      </c>
      <c r="LX53" s="760">
        <f t="shared" si="41"/>
        <v>105271151.05902056</v>
      </c>
      <c r="LY53" s="760">
        <f t="shared" si="41"/>
        <v>108429285.59079118</v>
      </c>
      <c r="LZ53" s="760">
        <f t="shared" si="41"/>
        <v>111682164.15851492</v>
      </c>
      <c r="MA53" s="760">
        <f t="shared" si="41"/>
        <v>115032629.08327037</v>
      </c>
      <c r="MB53" s="760">
        <f t="shared" si="41"/>
        <v>118483607.95576848</v>
      </c>
      <c r="MC53" s="760">
        <f t="shared" si="41"/>
        <v>122038116.19444154</v>
      </c>
      <c r="MD53" s="760">
        <f t="shared" si="41"/>
        <v>125699259.68027478</v>
      </c>
      <c r="ME53" s="760">
        <f t="shared" si="41"/>
        <v>129470237.47068304</v>
      </c>
      <c r="MF53" s="760">
        <f t="shared" si="41"/>
        <v>133354344.59480353</v>
      </c>
      <c r="MG53" s="760">
        <f t="shared" si="41"/>
        <v>137354974.93264765</v>
      </c>
      <c r="MH53" s="760">
        <f t="shared" si="41"/>
        <v>141475624.18062708</v>
      </c>
      <c r="MI53" s="760">
        <f t="shared" si="41"/>
        <v>145719892.90604588</v>
      </c>
      <c r="MJ53" s="760">
        <f t="shared" si="41"/>
        <v>150091489.69322726</v>
      </c>
      <c r="MK53" s="760">
        <f t="shared" si="41"/>
        <v>154594234.38402408</v>
      </c>
      <c r="ML53" s="760">
        <f t="shared" si="41"/>
        <v>159232061.41554481</v>
      </c>
      <c r="MM53" s="760">
        <f t="shared" si="41"/>
        <v>164009023.25801116</v>
      </c>
      <c r="MN53" s="760">
        <f t="shared" si="41"/>
        <v>168929293.95575151</v>
      </c>
      <c r="MO53" s="760">
        <f t="shared" si="41"/>
        <v>173997172.77442405</v>
      </c>
      <c r="MP53" s="760">
        <f t="shared" si="41"/>
        <v>179217087.95765677</v>
      </c>
      <c r="MQ53" s="760">
        <f t="shared" si="41"/>
        <v>184593600.59638649</v>
      </c>
      <c r="MR53" s="760">
        <f t="shared" si="41"/>
        <v>190131408.61427808</v>
      </c>
      <c r="MS53" s="760">
        <f t="shared" si="41"/>
        <v>195835350.87270641</v>
      </c>
      <c r="MT53" s="760">
        <f t="shared" si="41"/>
        <v>201710411.3988876</v>
      </c>
      <c r="MU53" s="760">
        <f t="shared" si="41"/>
        <v>207761723.74085423</v>
      </c>
      <c r="MV53" s="760">
        <f t="shared" si="41"/>
        <v>213994575.45307988</v>
      </c>
      <c r="MW53" s="760">
        <f t="shared" si="41"/>
        <v>220414412.71667227</v>
      </c>
      <c r="MX53" s="760">
        <f t="shared" si="41"/>
        <v>227026845.09817246</v>
      </c>
      <c r="MY53" s="760">
        <f t="shared" si="41"/>
        <v>233837650.45111763</v>
      </c>
      <c r="MZ53" s="760">
        <f t="shared" si="41"/>
        <v>240852779.96465117</v>
      </c>
      <c r="NA53" s="760">
        <f t="shared" si="41"/>
        <v>248078363.36359072</v>
      </c>
      <c r="NB53" s="760">
        <f t="shared" si="41"/>
        <v>255520714.26449844</v>
      </c>
      <c r="NC53" s="760">
        <f t="shared" si="41"/>
        <v>263186335.69243342</v>
      </c>
      <c r="ND53" s="760">
        <f t="shared" si="41"/>
        <v>271081925.76320642</v>
      </c>
      <c r="NE53" s="760">
        <f t="shared" si="41"/>
        <v>279214383.53610259</v>
      </c>
      <c r="NF53" s="760">
        <f t="shared" si="41"/>
        <v>287590815.04218566</v>
      </c>
      <c r="NG53" s="760">
        <f t="shared" si="41"/>
        <v>296218539.49345124</v>
      </c>
      <c r="NH53" s="760">
        <f t="shared" si="41"/>
        <v>305105095.67825478</v>
      </c>
      <c r="NI53" s="760">
        <f t="shared" si="41"/>
        <v>314258248.54860246</v>
      </c>
      <c r="NJ53" s="760">
        <f t="shared" si="41"/>
        <v>323685996.00506055</v>
      </c>
      <c r="NK53" s="760">
        <f t="shared" si="41"/>
        <v>333396575.88521236</v>
      </c>
      <c r="NL53" s="760">
        <f t="shared" si="41"/>
        <v>343398473.16176873</v>
      </c>
      <c r="NM53" s="760">
        <f t="shared" si="41"/>
        <v>353700427.3566218</v>
      </c>
      <c r="NN53" s="760">
        <f t="shared" si="41"/>
        <v>364311440.17732048</v>
      </c>
      <c r="NO53" s="760">
        <f t="shared" si="41"/>
        <v>375240783.38264012</v>
      </c>
      <c r="NP53" s="760">
        <f t="shared" si="41"/>
        <v>386498006.88411933</v>
      </c>
      <c r="NQ53" s="760">
        <f t="shared" si="41"/>
        <v>398092947.09064293</v>
      </c>
      <c r="NR53" s="760">
        <f t="shared" si="41"/>
        <v>410035735.50336224</v>
      </c>
      <c r="NS53" s="760">
        <f t="shared" si="41"/>
        <v>422336807.56846309</v>
      </c>
      <c r="NT53" s="760">
        <f t="shared" si="41"/>
        <v>435006911.79551697</v>
      </c>
      <c r="NU53" s="760">
        <f t="shared" si="41"/>
        <v>448057119.14938247</v>
      </c>
      <c r="NV53" s="760">
        <f t="shared" si="41"/>
        <v>461498832.72386396</v>
      </c>
      <c r="NW53" s="760">
        <f t="shared" si="41"/>
        <v>475343797.70557988</v>
      </c>
      <c r="NX53" s="760">
        <f t="shared" si="41"/>
        <v>489604111.6367473</v>
      </c>
      <c r="NY53" s="760">
        <f t="shared" si="41"/>
        <v>504292234.98584974</v>
      </c>
      <c r="NZ53" s="760">
        <f t="shared" si="41"/>
        <v>519421002.03542525</v>
      </c>
      <c r="OA53" s="760">
        <f t="shared" ref="OA53:QL53" si="42">+NZ53*$C$53</f>
        <v>535003632.096488</v>
      </c>
      <c r="OB53" s="760">
        <f t="shared" si="42"/>
        <v>551053741.05938268</v>
      </c>
      <c r="OC53" s="760">
        <f t="shared" si="42"/>
        <v>567585353.29116416</v>
      </c>
      <c r="OD53" s="760">
        <f t="shared" si="42"/>
        <v>584612913.88989913</v>
      </c>
      <c r="OE53" s="760">
        <f t="shared" si="42"/>
        <v>602151301.30659616</v>
      </c>
      <c r="OF53" s="760">
        <f t="shared" si="42"/>
        <v>620215840.34579408</v>
      </c>
      <c r="OG53" s="760">
        <f t="shared" si="42"/>
        <v>638822315.55616796</v>
      </c>
      <c r="OH53" s="760">
        <f t="shared" si="42"/>
        <v>657986985.02285302</v>
      </c>
      <c r="OI53" s="760">
        <f t="shared" si="42"/>
        <v>677726594.57353866</v>
      </c>
      <c r="OJ53" s="760">
        <f t="shared" si="42"/>
        <v>698058392.41074479</v>
      </c>
      <c r="OK53" s="760">
        <f t="shared" si="42"/>
        <v>719000144.1830672</v>
      </c>
      <c r="OL53" s="760">
        <f t="shared" si="42"/>
        <v>740570148.50855923</v>
      </c>
      <c r="OM53" s="760">
        <f t="shared" si="42"/>
        <v>762787252.96381605</v>
      </c>
      <c r="ON53" s="760">
        <f t="shared" si="42"/>
        <v>785670870.55273056</v>
      </c>
      <c r="OO53" s="760">
        <f t="shared" si="42"/>
        <v>809240996.66931248</v>
      </c>
      <c r="OP53" s="760">
        <f t="shared" si="42"/>
        <v>833518226.56939185</v>
      </c>
      <c r="OQ53" s="760">
        <f t="shared" si="42"/>
        <v>858523773.36647367</v>
      </c>
      <c r="OR53" s="760">
        <f t="shared" si="42"/>
        <v>884279486.56746793</v>
      </c>
      <c r="OS53" s="760">
        <f t="shared" si="42"/>
        <v>910807871.16449201</v>
      </c>
      <c r="OT53" s="760">
        <f t="shared" si="42"/>
        <v>938132107.29942679</v>
      </c>
      <c r="OU53" s="760">
        <f t="shared" si="42"/>
        <v>966276070.51840961</v>
      </c>
      <c r="OV53" s="760">
        <f t="shared" si="42"/>
        <v>995264352.63396192</v>
      </c>
      <c r="OW53" s="760">
        <f t="shared" si="42"/>
        <v>1025122283.2129807</v>
      </c>
      <c r="OX53" s="760">
        <f t="shared" si="42"/>
        <v>1055875951.7093703</v>
      </c>
      <c r="OY53" s="760">
        <f t="shared" si="42"/>
        <v>1087552230.2606514</v>
      </c>
      <c r="OZ53" s="760">
        <f t="shared" si="42"/>
        <v>1120178797.1684709</v>
      </c>
      <c r="PA53" s="760">
        <f t="shared" si="42"/>
        <v>1153784161.0835249</v>
      </c>
      <c r="PB53" s="760">
        <f t="shared" si="42"/>
        <v>1188397685.9160306</v>
      </c>
      <c r="PC53" s="760">
        <f t="shared" si="42"/>
        <v>1224049616.4935117</v>
      </c>
      <c r="PD53" s="760">
        <f t="shared" si="42"/>
        <v>1260771104.988317</v>
      </c>
      <c r="PE53" s="760">
        <f t="shared" si="42"/>
        <v>1298594238.1379666</v>
      </c>
      <c r="PF53" s="760">
        <f t="shared" si="42"/>
        <v>1337552065.2821057</v>
      </c>
      <c r="PG53" s="760">
        <f t="shared" si="42"/>
        <v>1377678627.2405689</v>
      </c>
      <c r="PH53" s="760">
        <f t="shared" si="42"/>
        <v>1419008986.057786</v>
      </c>
      <c r="PI53" s="760">
        <f t="shared" si="42"/>
        <v>1461579255.6395197</v>
      </c>
      <c r="PJ53" s="760">
        <f t="shared" si="42"/>
        <v>1505426633.3087053</v>
      </c>
      <c r="PK53" s="760">
        <f t="shared" si="42"/>
        <v>1550589432.3079665</v>
      </c>
      <c r="PL53" s="760">
        <f t="shared" si="42"/>
        <v>1597107115.2772055</v>
      </c>
      <c r="PM53" s="760">
        <f t="shared" si="42"/>
        <v>1645020328.7355216</v>
      </c>
      <c r="PN53" s="760">
        <f t="shared" si="42"/>
        <v>1694370938.5975873</v>
      </c>
      <c r="PO53" s="760">
        <f t="shared" si="42"/>
        <v>1745202066.7555151</v>
      </c>
      <c r="PP53" s="760">
        <f t="shared" si="42"/>
        <v>1797558128.7581806</v>
      </c>
      <c r="PQ53" s="760">
        <f t="shared" si="42"/>
        <v>1851484872.6209261</v>
      </c>
      <c r="PR53" s="760">
        <f t="shared" si="42"/>
        <v>1907029418.7995539</v>
      </c>
      <c r="PS53" s="760">
        <f t="shared" si="42"/>
        <v>1964240301.3635406</v>
      </c>
      <c r="PT53" s="760">
        <f t="shared" si="42"/>
        <v>2023167510.4044468</v>
      </c>
      <c r="PU53" s="760">
        <f t="shared" si="42"/>
        <v>2083862535.7165804</v>
      </c>
      <c r="PV53" s="760">
        <f t="shared" si="42"/>
        <v>2146378411.7880778</v>
      </c>
      <c r="PW53" s="760">
        <f t="shared" si="42"/>
        <v>2210769764.1417203</v>
      </c>
      <c r="PX53" s="760">
        <f t="shared" si="42"/>
        <v>2277092857.0659719</v>
      </c>
      <c r="PY53" s="760">
        <f t="shared" si="42"/>
        <v>2345405642.7779512</v>
      </c>
      <c r="PZ53" s="760">
        <f t="shared" si="42"/>
        <v>2415767812.0612898</v>
      </c>
      <c r="QA53" s="760">
        <f t="shared" si="42"/>
        <v>2488240846.4231286</v>
      </c>
      <c r="QB53" s="760">
        <f t="shared" si="42"/>
        <v>2562888071.8158226</v>
      </c>
      <c r="QC53" s="760">
        <f t="shared" si="42"/>
        <v>2639774713.9702973</v>
      </c>
      <c r="QD53" s="760">
        <f t="shared" si="42"/>
        <v>2718967955.3894062</v>
      </c>
      <c r="QE53" s="760">
        <f t="shared" si="42"/>
        <v>2800536994.0510883</v>
      </c>
      <c r="QF53" s="760">
        <f t="shared" si="42"/>
        <v>2884553103.8726211</v>
      </c>
      <c r="QG53" s="760">
        <f t="shared" si="42"/>
        <v>2971089696.9887996</v>
      </c>
      <c r="QH53" s="760">
        <f t="shared" si="42"/>
        <v>3060222387.8984637</v>
      </c>
      <c r="QI53" s="760">
        <f t="shared" si="42"/>
        <v>3152029059.5354176</v>
      </c>
      <c r="QJ53" s="760">
        <f t="shared" si="42"/>
        <v>3246589931.3214803</v>
      </c>
      <c r="QK53" s="760">
        <f t="shared" si="42"/>
        <v>3343987629.2611246</v>
      </c>
      <c r="QL53" s="760">
        <f t="shared" si="42"/>
        <v>3444307258.1389585</v>
      </c>
      <c r="QM53" s="760">
        <f t="shared" ref="QM53:SX53" si="43">+QL53*$C$53</f>
        <v>3547636475.8831272</v>
      </c>
      <c r="QN53" s="760">
        <f t="shared" si="43"/>
        <v>3654065570.1596212</v>
      </c>
      <c r="QO53" s="760">
        <f t="shared" si="43"/>
        <v>3763687537.26441</v>
      </c>
      <c r="QP53" s="760">
        <f t="shared" si="43"/>
        <v>3876598163.3823423</v>
      </c>
      <c r="QQ53" s="760">
        <f t="shared" si="43"/>
        <v>3992896108.2838125</v>
      </c>
      <c r="QR53" s="760">
        <f t="shared" si="43"/>
        <v>4112682991.5323272</v>
      </c>
      <c r="QS53" s="760">
        <f t="shared" si="43"/>
        <v>4236063481.2782969</v>
      </c>
      <c r="QT53" s="760">
        <f t="shared" si="43"/>
        <v>4363145385.7166462</v>
      </c>
      <c r="QU53" s="760">
        <f t="shared" si="43"/>
        <v>4494039747.288146</v>
      </c>
      <c r="QV53" s="760">
        <f t="shared" si="43"/>
        <v>4628860939.7067909</v>
      </c>
      <c r="QW53" s="760">
        <f t="shared" si="43"/>
        <v>4767726767.897995</v>
      </c>
      <c r="QX53" s="760">
        <f t="shared" si="43"/>
        <v>4910758570.9349346</v>
      </c>
      <c r="QY53" s="760">
        <f t="shared" si="43"/>
        <v>5058081328.0629826</v>
      </c>
      <c r="QZ53" s="760">
        <f t="shared" si="43"/>
        <v>5209823767.9048719</v>
      </c>
      <c r="RA53" s="760">
        <f t="shared" si="43"/>
        <v>5366118480.9420185</v>
      </c>
      <c r="RB53" s="760">
        <f t="shared" si="43"/>
        <v>5527102035.3702793</v>
      </c>
      <c r="RC53" s="760">
        <f t="shared" si="43"/>
        <v>5692915096.4313879</v>
      </c>
      <c r="RD53" s="760">
        <f t="shared" si="43"/>
        <v>5863702549.3243294</v>
      </c>
      <c r="RE53" s="760">
        <f t="shared" si="43"/>
        <v>6039613625.804059</v>
      </c>
      <c r="RF53" s="760">
        <f t="shared" si="43"/>
        <v>6220802034.5781813</v>
      </c>
      <c r="RG53" s="760">
        <f t="shared" si="43"/>
        <v>6407426095.6155272</v>
      </c>
      <c r="RH53" s="760">
        <f t="shared" si="43"/>
        <v>6599648878.4839935</v>
      </c>
      <c r="RI53" s="760">
        <f t="shared" si="43"/>
        <v>6797638344.8385134</v>
      </c>
      <c r="RJ53" s="760">
        <f t="shared" si="43"/>
        <v>7001567495.1836691</v>
      </c>
      <c r="RK53" s="760">
        <f t="shared" si="43"/>
        <v>7211614520.0391798</v>
      </c>
      <c r="RL53" s="760">
        <f t="shared" si="43"/>
        <v>7427962955.6403551</v>
      </c>
      <c r="RM53" s="760">
        <f t="shared" si="43"/>
        <v>7650801844.3095655</v>
      </c>
      <c r="RN53" s="760">
        <f t="shared" si="43"/>
        <v>7880325899.6388531</v>
      </c>
      <c r="RO53" s="760">
        <f t="shared" si="43"/>
        <v>8116735676.6280193</v>
      </c>
      <c r="RP53" s="760">
        <f t="shared" si="43"/>
        <v>8360237746.9268599</v>
      </c>
      <c r="RQ53" s="760">
        <f t="shared" si="43"/>
        <v>8611044879.3346653</v>
      </c>
      <c r="RR53" s="760">
        <f t="shared" si="43"/>
        <v>8869376225.7147064</v>
      </c>
      <c r="RS53" s="760">
        <f t="shared" si="43"/>
        <v>9135457512.4861469</v>
      </c>
      <c r="RT53" s="760">
        <f t="shared" si="43"/>
        <v>9409521237.8607311</v>
      </c>
      <c r="RU53" s="760">
        <f t="shared" si="43"/>
        <v>9691806874.9965534</v>
      </c>
      <c r="RV53" s="760">
        <f t="shared" si="43"/>
        <v>9982561081.2464504</v>
      </c>
      <c r="RW53" s="760">
        <f t="shared" si="43"/>
        <v>10282037913.683844</v>
      </c>
      <c r="RX53" s="760">
        <f t="shared" si="43"/>
        <v>10590499051.094358</v>
      </c>
      <c r="RY53" s="760">
        <f t="shared" si="43"/>
        <v>10908214022.62719</v>
      </c>
      <c r="RZ53" s="760">
        <f t="shared" si="43"/>
        <v>11235460443.306005</v>
      </c>
      <c r="SA53" s="760">
        <f t="shared" si="43"/>
        <v>11572524256.605186</v>
      </c>
      <c r="SB53" s="760">
        <f t="shared" si="43"/>
        <v>11919699984.303343</v>
      </c>
      <c r="SC53" s="760">
        <f t="shared" si="43"/>
        <v>12277290983.832443</v>
      </c>
      <c r="SD53" s="760">
        <f t="shared" si="43"/>
        <v>12645609713.347416</v>
      </c>
      <c r="SE53" s="760">
        <f t="shared" si="43"/>
        <v>13024978004.747839</v>
      </c>
      <c r="SF53" s="760">
        <f t="shared" si="43"/>
        <v>13415727344.890274</v>
      </c>
      <c r="SG53" s="760">
        <f t="shared" si="43"/>
        <v>13818199165.236982</v>
      </c>
      <c r="SH53" s="760">
        <f t="shared" si="43"/>
        <v>14232745140.194092</v>
      </c>
      <c r="SI53" s="760">
        <f t="shared" si="43"/>
        <v>14659727494.399916</v>
      </c>
      <c r="SJ53" s="760">
        <f t="shared" si="43"/>
        <v>15099519319.231913</v>
      </c>
      <c r="SK53" s="760">
        <f t="shared" si="43"/>
        <v>15552504898.80887</v>
      </c>
      <c r="SL53" s="760">
        <f t="shared" si="43"/>
        <v>16019080045.773136</v>
      </c>
      <c r="SM53" s="760">
        <f t="shared" si="43"/>
        <v>16499652447.14633</v>
      </c>
      <c r="SN53" s="760">
        <f t="shared" si="43"/>
        <v>16994642020.56072</v>
      </c>
      <c r="SO53" s="760">
        <f t="shared" si="43"/>
        <v>17504481281.177544</v>
      </c>
      <c r="SP53" s="760">
        <f t="shared" si="43"/>
        <v>18029615719.612869</v>
      </c>
      <c r="SQ53" s="760">
        <f t="shared" si="43"/>
        <v>18570504191.201256</v>
      </c>
      <c r="SR53" s="760">
        <f t="shared" si="43"/>
        <v>19127619316.937294</v>
      </c>
      <c r="SS53" s="760">
        <f t="shared" si="43"/>
        <v>19701447896.445412</v>
      </c>
      <c r="ST53" s="760">
        <f t="shared" si="43"/>
        <v>20292491333.338776</v>
      </c>
      <c r="SU53" s="760">
        <f t="shared" si="43"/>
        <v>20901266073.33894</v>
      </c>
      <c r="SV53" s="760">
        <f t="shared" si="43"/>
        <v>21528304055.539108</v>
      </c>
      <c r="SW53" s="760">
        <f t="shared" si="43"/>
        <v>22174153177.20528</v>
      </c>
      <c r="SX53" s="760">
        <f t="shared" si="43"/>
        <v>22839377772.521439</v>
      </c>
      <c r="SY53" s="760">
        <f t="shared" ref="SY53:VJ53" si="44">+SX53*$C$53</f>
        <v>23524559105.697083</v>
      </c>
      <c r="SZ53" s="760">
        <f t="shared" si="44"/>
        <v>24230295878.867996</v>
      </c>
      <c r="TA53" s="760">
        <f t="shared" si="44"/>
        <v>24957204755.234035</v>
      </c>
      <c r="TB53" s="760">
        <f t="shared" si="44"/>
        <v>25705920897.891056</v>
      </c>
      <c r="TC53" s="760">
        <f t="shared" si="44"/>
        <v>26477098524.827789</v>
      </c>
      <c r="TD53" s="760">
        <f t="shared" si="44"/>
        <v>27271411480.572624</v>
      </c>
      <c r="TE53" s="760">
        <f t="shared" si="44"/>
        <v>28089553824.989803</v>
      </c>
      <c r="TF53" s="760">
        <f t="shared" si="44"/>
        <v>28932240439.739498</v>
      </c>
      <c r="TG53" s="760">
        <f t="shared" si="44"/>
        <v>29800207652.931683</v>
      </c>
      <c r="TH53" s="760">
        <f t="shared" si="44"/>
        <v>30694213882.519634</v>
      </c>
      <c r="TI53" s="760">
        <f t="shared" si="44"/>
        <v>31615040298.995224</v>
      </c>
      <c r="TJ53" s="760">
        <f t="shared" si="44"/>
        <v>32563491507.96508</v>
      </c>
      <c r="TK53" s="760">
        <f t="shared" si="44"/>
        <v>33540396253.204033</v>
      </c>
      <c r="TL53" s="760">
        <f t="shared" si="44"/>
        <v>34546608140.800156</v>
      </c>
      <c r="TM53" s="760">
        <f t="shared" si="44"/>
        <v>35583006385.024162</v>
      </c>
      <c r="TN53" s="760">
        <f t="shared" si="44"/>
        <v>36650496576.57489</v>
      </c>
      <c r="TO53" s="760">
        <f t="shared" si="44"/>
        <v>37750011473.872139</v>
      </c>
      <c r="TP53" s="760">
        <f t="shared" si="44"/>
        <v>38882511818.088303</v>
      </c>
      <c r="TQ53" s="760">
        <f t="shared" si="44"/>
        <v>40048987172.630951</v>
      </c>
      <c r="TR53" s="760">
        <f t="shared" si="44"/>
        <v>41250456787.809883</v>
      </c>
      <c r="TS53" s="760">
        <f t="shared" si="44"/>
        <v>42487970491.444183</v>
      </c>
      <c r="TT53" s="760">
        <f t="shared" si="44"/>
        <v>43762609606.187508</v>
      </c>
      <c r="TU53" s="760">
        <f t="shared" si="44"/>
        <v>45075487894.373131</v>
      </c>
      <c r="TV53" s="760">
        <f t="shared" si="44"/>
        <v>46427752531.204323</v>
      </c>
      <c r="TW53" s="760">
        <f t="shared" si="44"/>
        <v>47820585107.140457</v>
      </c>
      <c r="TX53" s="760">
        <f t="shared" si="44"/>
        <v>49255202660.354675</v>
      </c>
      <c r="TY53" s="760">
        <f t="shared" si="44"/>
        <v>50732858740.165314</v>
      </c>
      <c r="TZ53" s="760">
        <f t="shared" si="44"/>
        <v>52254844502.370277</v>
      </c>
      <c r="UA53" s="760">
        <f t="shared" si="44"/>
        <v>53822489837.441383</v>
      </c>
      <c r="UB53" s="760">
        <f t="shared" si="44"/>
        <v>55437164532.564629</v>
      </c>
      <c r="UC53" s="760">
        <f t="shared" si="44"/>
        <v>57100279468.541573</v>
      </c>
      <c r="UD53" s="760">
        <f t="shared" si="44"/>
        <v>58813287852.597824</v>
      </c>
      <c r="UE53" s="760">
        <f t="shared" si="44"/>
        <v>60577686488.175758</v>
      </c>
      <c r="UF53" s="760">
        <f t="shared" si="44"/>
        <v>62395017082.82103</v>
      </c>
      <c r="UG53" s="760">
        <f t="shared" si="44"/>
        <v>64266867595.305664</v>
      </c>
      <c r="UH53" s="760">
        <f t="shared" si="44"/>
        <v>66194873623.164833</v>
      </c>
      <c r="UI53" s="760">
        <f t="shared" si="44"/>
        <v>68180719831.859779</v>
      </c>
      <c r="UJ53" s="760">
        <f t="shared" si="44"/>
        <v>70226141426.815567</v>
      </c>
      <c r="UK53" s="760">
        <f t="shared" si="44"/>
        <v>72332925669.620041</v>
      </c>
      <c r="UL53" s="760">
        <f t="shared" si="44"/>
        <v>74502913439.708649</v>
      </c>
      <c r="UM53" s="760">
        <f t="shared" si="44"/>
        <v>76738000842.899918</v>
      </c>
      <c r="UN53" s="760">
        <f t="shared" si="44"/>
        <v>79040140868.18692</v>
      </c>
      <c r="UO53" s="760">
        <f t="shared" si="44"/>
        <v>81411345094.232529</v>
      </c>
      <c r="UP53" s="760">
        <f t="shared" si="44"/>
        <v>83853685447.059509</v>
      </c>
      <c r="UQ53" s="760">
        <f t="shared" si="44"/>
        <v>86369296010.471298</v>
      </c>
      <c r="UR53" s="760">
        <f t="shared" si="44"/>
        <v>88960374890.785446</v>
      </c>
      <c r="US53" s="760">
        <f t="shared" si="44"/>
        <v>91629186137.509018</v>
      </c>
      <c r="UT53" s="760">
        <f t="shared" si="44"/>
        <v>94378061721.634293</v>
      </c>
      <c r="UU53" s="760">
        <f t="shared" si="44"/>
        <v>97209403573.283325</v>
      </c>
      <c r="UV53" s="760">
        <f t="shared" si="44"/>
        <v>100125685680.48183</v>
      </c>
      <c r="UW53" s="760">
        <f t="shared" si="44"/>
        <v>103129456250.89629</v>
      </c>
      <c r="UX53" s="760">
        <f t="shared" si="44"/>
        <v>106223339938.42317</v>
      </c>
      <c r="UY53" s="760">
        <f t="shared" si="44"/>
        <v>109410040136.57587</v>
      </c>
      <c r="UZ53" s="760">
        <f t="shared" si="44"/>
        <v>112692341340.67314</v>
      </c>
      <c r="VA53" s="760">
        <f t="shared" si="44"/>
        <v>116073111580.89334</v>
      </c>
      <c r="VB53" s="760">
        <f t="shared" si="44"/>
        <v>119555304928.32014</v>
      </c>
      <c r="VC53" s="760">
        <f t="shared" si="44"/>
        <v>123141964076.16975</v>
      </c>
      <c r="VD53" s="760">
        <f t="shared" si="44"/>
        <v>126836222998.45485</v>
      </c>
      <c r="VE53" s="760">
        <f t="shared" si="44"/>
        <v>130641309688.40849</v>
      </c>
      <c r="VF53" s="760">
        <f t="shared" si="44"/>
        <v>134560548979.06075</v>
      </c>
      <c r="VG53" s="760">
        <f t="shared" si="44"/>
        <v>138597365448.43256</v>
      </c>
      <c r="VH53" s="760">
        <f t="shared" si="44"/>
        <v>142755286411.88553</v>
      </c>
      <c r="VI53" s="760">
        <f t="shared" si="44"/>
        <v>147037945004.2421</v>
      </c>
      <c r="VJ53" s="760">
        <f t="shared" si="44"/>
        <v>151449083354.36935</v>
      </c>
      <c r="VK53" s="760">
        <f t="shared" ref="VK53:XV53" si="45">+VJ53*$C$53</f>
        <v>155992555855.00043</v>
      </c>
      <c r="VL53" s="760">
        <f t="shared" si="45"/>
        <v>160672332530.65045</v>
      </c>
      <c r="VM53" s="760">
        <f t="shared" si="45"/>
        <v>165492502506.56998</v>
      </c>
      <c r="VN53" s="760">
        <f t="shared" si="45"/>
        <v>170457277581.76709</v>
      </c>
      <c r="VO53" s="760">
        <f t="shared" si="45"/>
        <v>175570995909.22009</v>
      </c>
      <c r="VP53" s="760">
        <f t="shared" si="45"/>
        <v>180838125786.4967</v>
      </c>
      <c r="VQ53" s="760">
        <f t="shared" si="45"/>
        <v>186263269560.09161</v>
      </c>
      <c r="VR53" s="760">
        <f t="shared" si="45"/>
        <v>191851167646.89438</v>
      </c>
      <c r="VS53" s="760">
        <f t="shared" si="45"/>
        <v>197606702676.30121</v>
      </c>
      <c r="VT53" s="760">
        <f t="shared" si="45"/>
        <v>203534903756.59024</v>
      </c>
      <c r="VU53" s="760">
        <f t="shared" si="45"/>
        <v>209640950869.28796</v>
      </c>
      <c r="VV53" s="760">
        <f t="shared" si="45"/>
        <v>215930179395.36661</v>
      </c>
      <c r="VW53" s="760">
        <f t="shared" si="45"/>
        <v>222408084777.2276</v>
      </c>
      <c r="VX53" s="760">
        <f t="shared" si="45"/>
        <v>229080327320.54443</v>
      </c>
      <c r="VY53" s="760">
        <f t="shared" si="45"/>
        <v>235952737140.16077</v>
      </c>
      <c r="VZ53" s="760">
        <f t="shared" si="45"/>
        <v>243031319254.3656</v>
      </c>
      <c r="WA53" s="760">
        <f t="shared" si="45"/>
        <v>250322258831.99658</v>
      </c>
      <c r="WB53" s="760">
        <f t="shared" si="45"/>
        <v>257831926596.95648</v>
      </c>
      <c r="WC53" s="760">
        <f t="shared" si="45"/>
        <v>265566884394.86517</v>
      </c>
      <c r="WD53" s="760">
        <f t="shared" si="45"/>
        <v>273533890926.71112</v>
      </c>
      <c r="WE53" s="760">
        <f t="shared" si="45"/>
        <v>281739907654.51245</v>
      </c>
      <c r="WF53" s="760">
        <f t="shared" si="45"/>
        <v>290192104884.14783</v>
      </c>
      <c r="WG53" s="760">
        <f t="shared" si="45"/>
        <v>298897868030.67224</v>
      </c>
      <c r="WH53" s="760">
        <f t="shared" si="45"/>
        <v>307864804071.59241</v>
      </c>
      <c r="WI53" s="760">
        <f t="shared" si="45"/>
        <v>317100748193.74017</v>
      </c>
      <c r="WJ53" s="760">
        <f t="shared" si="45"/>
        <v>326613770639.55237</v>
      </c>
      <c r="WK53" s="760">
        <f t="shared" si="45"/>
        <v>336412183758.73895</v>
      </c>
      <c r="WL53" s="760">
        <f t="shared" si="45"/>
        <v>346504549271.50116</v>
      </c>
      <c r="WM53" s="760">
        <f t="shared" si="45"/>
        <v>356899685749.64618</v>
      </c>
      <c r="WN53" s="760">
        <f t="shared" si="45"/>
        <v>367606676322.13556</v>
      </c>
      <c r="WO53" s="760">
        <f t="shared" si="45"/>
        <v>378634876611.79962</v>
      </c>
      <c r="WP53" s="760">
        <f t="shared" si="45"/>
        <v>389993922910.15363</v>
      </c>
      <c r="WQ53" s="760">
        <f t="shared" si="45"/>
        <v>401693740597.45825</v>
      </c>
      <c r="WR53" s="760">
        <f t="shared" si="45"/>
        <v>413744552815.38202</v>
      </c>
      <c r="WS53" s="760">
        <f t="shared" si="45"/>
        <v>426156889399.84351</v>
      </c>
      <c r="WT53" s="760">
        <f t="shared" si="45"/>
        <v>438941596081.83881</v>
      </c>
      <c r="WU53" s="760">
        <f t="shared" si="45"/>
        <v>452109843964.29401</v>
      </c>
      <c r="WV53" s="760">
        <f t="shared" si="45"/>
        <v>465673139283.22284</v>
      </c>
      <c r="WW53" s="760">
        <f t="shared" si="45"/>
        <v>479643333461.71954</v>
      </c>
      <c r="WX53" s="760">
        <f t="shared" si="45"/>
        <v>494032633465.57117</v>
      </c>
      <c r="WY53" s="760">
        <f t="shared" si="45"/>
        <v>508853612469.53833</v>
      </c>
      <c r="WZ53" s="760">
        <f t="shared" si="45"/>
        <v>524119220843.62451</v>
      </c>
      <c r="XA53" s="760">
        <f t="shared" si="45"/>
        <v>539842797468.93329</v>
      </c>
      <c r="XB53" s="760">
        <f t="shared" si="45"/>
        <v>556038081393.00134</v>
      </c>
      <c r="XC53" s="760">
        <f t="shared" si="45"/>
        <v>572719223834.79138</v>
      </c>
      <c r="XD53" s="760">
        <f t="shared" si="45"/>
        <v>589900800549.83508</v>
      </c>
      <c r="XE53" s="760">
        <f t="shared" si="45"/>
        <v>607597824566.3302</v>
      </c>
      <c r="XF53" s="760">
        <f t="shared" si="45"/>
        <v>625825759303.32007</v>
      </c>
      <c r="XG53" s="760">
        <f t="shared" si="45"/>
        <v>644600532082.41968</v>
      </c>
      <c r="XH53" s="760">
        <f t="shared" si="45"/>
        <v>663938548044.89233</v>
      </c>
      <c r="XI53" s="760">
        <f t="shared" si="45"/>
        <v>683856704486.23914</v>
      </c>
      <c r="XJ53" s="760">
        <f t="shared" si="45"/>
        <v>704372405620.82629</v>
      </c>
      <c r="XK53" s="760">
        <f t="shared" si="45"/>
        <v>725503577789.45105</v>
      </c>
      <c r="XL53" s="760">
        <f t="shared" si="45"/>
        <v>747268685123.13464</v>
      </c>
      <c r="XM53" s="760">
        <f t="shared" si="45"/>
        <v>769686745676.82874</v>
      </c>
      <c r="XN53" s="760">
        <f t="shared" si="45"/>
        <v>792777348047.13367</v>
      </c>
      <c r="XO53" s="760">
        <f t="shared" si="45"/>
        <v>816560668488.54773</v>
      </c>
      <c r="XP53" s="760">
        <f t="shared" si="45"/>
        <v>841057488543.20422</v>
      </c>
      <c r="XQ53" s="760">
        <f t="shared" si="45"/>
        <v>866289213199.50037</v>
      </c>
      <c r="XR53" s="760">
        <f t="shared" si="45"/>
        <v>892277889595.48535</v>
      </c>
      <c r="XS53" s="760">
        <f t="shared" si="45"/>
        <v>919046226283.34998</v>
      </c>
      <c r="XT53" s="760">
        <f t="shared" si="45"/>
        <v>946617613071.85046</v>
      </c>
      <c r="XU53" s="760">
        <f t="shared" si="45"/>
        <v>975016141464.00598</v>
      </c>
      <c r="XV53" s="760">
        <f t="shared" si="45"/>
        <v>1004266625707.9261</v>
      </c>
      <c r="XW53" s="760">
        <f t="shared" ref="XW53:AAH53" si="46">+XV53*$C$53</f>
        <v>1034394624479.1639</v>
      </c>
      <c r="XX53" s="760">
        <f t="shared" si="46"/>
        <v>1065426463213.5389</v>
      </c>
      <c r="XY53" s="760">
        <f t="shared" si="46"/>
        <v>1097389257109.9452</v>
      </c>
      <c r="XZ53" s="760">
        <f t="shared" si="46"/>
        <v>1130310934823.2437</v>
      </c>
      <c r="YA53" s="760">
        <f t="shared" si="46"/>
        <v>1164220262867.9409</v>
      </c>
      <c r="YB53" s="760">
        <f t="shared" si="46"/>
        <v>1199146870753.9792</v>
      </c>
      <c r="YC53" s="760">
        <f t="shared" si="46"/>
        <v>1235121276876.5986</v>
      </c>
      <c r="YD53" s="760">
        <f t="shared" si="46"/>
        <v>1272174915182.8967</v>
      </c>
      <c r="YE53" s="760">
        <f t="shared" si="46"/>
        <v>1310340162638.3835</v>
      </c>
      <c r="YF53" s="760">
        <f t="shared" si="46"/>
        <v>1349650367517.5352</v>
      </c>
      <c r="YG53" s="760">
        <f t="shared" si="46"/>
        <v>1390139878543.0613</v>
      </c>
      <c r="YH53" s="760">
        <f t="shared" si="46"/>
        <v>1431844074899.3533</v>
      </c>
      <c r="YI53" s="760">
        <f t="shared" si="46"/>
        <v>1474799397146.334</v>
      </c>
      <c r="YJ53" s="760">
        <f t="shared" si="46"/>
        <v>1519043379060.7241</v>
      </c>
      <c r="YK53" s="760">
        <f t="shared" si="46"/>
        <v>1564614680432.5459</v>
      </c>
      <c r="YL53" s="760">
        <f t="shared" si="46"/>
        <v>1611553120845.5222</v>
      </c>
      <c r="YM53" s="760">
        <f t="shared" si="46"/>
        <v>1659899714470.8879</v>
      </c>
      <c r="YN53" s="760">
        <f t="shared" si="46"/>
        <v>1709696705905.0146</v>
      </c>
      <c r="YO53" s="760">
        <f t="shared" si="46"/>
        <v>1760987607082.165</v>
      </c>
      <c r="YP53" s="760">
        <f t="shared" si="46"/>
        <v>1813817235294.6301</v>
      </c>
      <c r="YQ53" s="760">
        <f t="shared" si="46"/>
        <v>1868231752353.469</v>
      </c>
      <c r="YR53" s="760">
        <f t="shared" si="46"/>
        <v>1924278704924.073</v>
      </c>
      <c r="YS53" s="760">
        <f t="shared" si="46"/>
        <v>1982007066071.7952</v>
      </c>
      <c r="YT53" s="760">
        <f t="shared" si="46"/>
        <v>2041467278053.949</v>
      </c>
      <c r="YU53" s="760">
        <f t="shared" si="46"/>
        <v>2102711296395.5674</v>
      </c>
      <c r="YV53" s="760">
        <f t="shared" si="46"/>
        <v>2165792635287.4346</v>
      </c>
      <c r="YW53" s="760">
        <f t="shared" si="46"/>
        <v>2230766414346.0576</v>
      </c>
      <c r="YX53" s="760">
        <f t="shared" si="46"/>
        <v>2297689406776.4395</v>
      </c>
      <c r="YY53" s="760">
        <f t="shared" si="46"/>
        <v>2366620088979.7329</v>
      </c>
      <c r="YZ53" s="760">
        <f t="shared" si="46"/>
        <v>2437618691649.125</v>
      </c>
      <c r="ZA53" s="760">
        <f t="shared" si="46"/>
        <v>2510747252398.5986</v>
      </c>
      <c r="ZB53" s="760">
        <f t="shared" si="46"/>
        <v>2586069669970.5566</v>
      </c>
      <c r="ZC53" s="760">
        <f t="shared" si="46"/>
        <v>2663651760069.6733</v>
      </c>
      <c r="ZD53" s="760">
        <f t="shared" si="46"/>
        <v>2743561312871.7637</v>
      </c>
      <c r="ZE53" s="760">
        <f t="shared" si="46"/>
        <v>2825868152257.9165</v>
      </c>
      <c r="ZF53" s="760">
        <f t="shared" si="46"/>
        <v>2910644196825.6543</v>
      </c>
      <c r="ZG53" s="760">
        <f t="shared" si="46"/>
        <v>2997963522730.4238</v>
      </c>
      <c r="ZH53" s="760">
        <f t="shared" si="46"/>
        <v>3087902428412.3364</v>
      </c>
      <c r="ZI53" s="760">
        <f t="shared" si="46"/>
        <v>3180539501264.7065</v>
      </c>
      <c r="ZJ53" s="760">
        <f t="shared" si="46"/>
        <v>3275955686302.6479</v>
      </c>
      <c r="ZK53" s="760">
        <f t="shared" si="46"/>
        <v>3374234356891.7275</v>
      </c>
      <c r="ZL53" s="760">
        <f t="shared" si="46"/>
        <v>3475461387598.4795</v>
      </c>
      <c r="ZM53" s="760">
        <f t="shared" si="46"/>
        <v>3579725229226.4341</v>
      </c>
      <c r="ZN53" s="760">
        <f t="shared" si="46"/>
        <v>3687116986103.2271</v>
      </c>
      <c r="ZO53" s="760">
        <f t="shared" si="46"/>
        <v>3797730495686.3237</v>
      </c>
      <c r="ZP53" s="760">
        <f t="shared" si="46"/>
        <v>3911662410556.9136</v>
      </c>
      <c r="ZQ53" s="760">
        <f t="shared" si="46"/>
        <v>4029012282873.6211</v>
      </c>
      <c r="ZR53" s="760">
        <f t="shared" si="46"/>
        <v>4149882651359.8301</v>
      </c>
      <c r="ZS53" s="760">
        <f t="shared" si="46"/>
        <v>4274379130900.625</v>
      </c>
      <c r="ZT53" s="760">
        <f t="shared" si="46"/>
        <v>4402610504827.6436</v>
      </c>
      <c r="ZU53" s="760">
        <f t="shared" si="46"/>
        <v>4534688819972.4727</v>
      </c>
      <c r="ZV53" s="760">
        <f t="shared" si="46"/>
        <v>4670729484571.6465</v>
      </c>
      <c r="ZW53" s="760">
        <f t="shared" si="46"/>
        <v>4810851369108.7959</v>
      </c>
      <c r="ZX53" s="760">
        <f t="shared" si="46"/>
        <v>4955176910182.0596</v>
      </c>
      <c r="ZY53" s="760">
        <f t="shared" si="46"/>
        <v>5103832217487.5215</v>
      </c>
      <c r="ZZ53" s="760">
        <f t="shared" si="46"/>
        <v>5256947184012.1475</v>
      </c>
      <c r="AAA53" s="760">
        <f t="shared" si="46"/>
        <v>5414655599532.5117</v>
      </c>
      <c r="AAB53" s="760">
        <f t="shared" si="46"/>
        <v>5577095267518.4873</v>
      </c>
      <c r="AAC53" s="760">
        <f t="shared" si="46"/>
        <v>5744408125544.042</v>
      </c>
      <c r="AAD53" s="760">
        <f t="shared" si="46"/>
        <v>5916740369310.3633</v>
      </c>
      <c r="AAE53" s="760">
        <f t="shared" si="46"/>
        <v>6094242580389.6748</v>
      </c>
      <c r="AAF53" s="760">
        <f t="shared" si="46"/>
        <v>6277069857801.3652</v>
      </c>
      <c r="AAG53" s="760">
        <f t="shared" si="46"/>
        <v>6465381953535.4063</v>
      </c>
      <c r="AAH53" s="760">
        <f t="shared" si="46"/>
        <v>6659343412141.4688</v>
      </c>
      <c r="AAI53" s="760">
        <f t="shared" ref="AAI53:ACT53" si="47">+AAH53*$C$53</f>
        <v>6859123714505.7129</v>
      </c>
      <c r="AAJ53" s="760">
        <f t="shared" si="47"/>
        <v>7064897425940.8848</v>
      </c>
      <c r="AAK53" s="760">
        <f t="shared" si="47"/>
        <v>7276844348719.1113</v>
      </c>
      <c r="AAL53" s="760">
        <f t="shared" si="47"/>
        <v>7495149679180.6846</v>
      </c>
      <c r="AAM53" s="760">
        <f t="shared" si="47"/>
        <v>7720004169556.1055</v>
      </c>
      <c r="AAN53" s="760">
        <f t="shared" si="47"/>
        <v>7951604294642.7891</v>
      </c>
      <c r="AAO53" s="760">
        <f t="shared" si="47"/>
        <v>8190152423482.0732</v>
      </c>
      <c r="AAP53" s="760">
        <f t="shared" si="47"/>
        <v>8435856996186.5361</v>
      </c>
      <c r="AAQ53" s="760">
        <f t="shared" si="47"/>
        <v>8688932706072.1328</v>
      </c>
      <c r="AAR53" s="760">
        <f t="shared" si="47"/>
        <v>8949600687254.2969</v>
      </c>
      <c r="AAS53" s="760">
        <f t="shared" si="47"/>
        <v>9218088707871.9258</v>
      </c>
      <c r="AAT53" s="760">
        <f t="shared" si="47"/>
        <v>9494631369108.084</v>
      </c>
      <c r="AAU53" s="760">
        <f t="shared" si="47"/>
        <v>9779470310181.3262</v>
      </c>
      <c r="AAV53" s="760">
        <f t="shared" si="47"/>
        <v>10072854419486.766</v>
      </c>
      <c r="AAW53" s="760">
        <f t="shared" si="47"/>
        <v>10375040052071.369</v>
      </c>
      <c r="AAX53" s="760">
        <f t="shared" si="47"/>
        <v>10686291253633.51</v>
      </c>
      <c r="AAY53" s="760">
        <f t="shared" si="47"/>
        <v>11006879991242.516</v>
      </c>
      <c r="AAZ53" s="760">
        <f t="shared" si="47"/>
        <v>11337086390979.791</v>
      </c>
      <c r="ABA53" s="760">
        <f t="shared" si="47"/>
        <v>11677198982709.186</v>
      </c>
      <c r="ABB53" s="760">
        <f t="shared" si="47"/>
        <v>12027514952190.461</v>
      </c>
      <c r="ABC53" s="760">
        <f t="shared" si="47"/>
        <v>12388340400756.176</v>
      </c>
      <c r="ABD53" s="760">
        <f t="shared" si="47"/>
        <v>12759990612778.861</v>
      </c>
      <c r="ABE53" s="760">
        <f t="shared" si="47"/>
        <v>13142790331162.227</v>
      </c>
      <c r="ABF53" s="760">
        <f t="shared" si="47"/>
        <v>13537074041097.094</v>
      </c>
      <c r="ABG53" s="760">
        <f t="shared" si="47"/>
        <v>13943186262330.008</v>
      </c>
      <c r="ABH53" s="760">
        <f t="shared" si="47"/>
        <v>14361481850199.908</v>
      </c>
      <c r="ABI53" s="760">
        <f t="shared" si="47"/>
        <v>14792326305705.906</v>
      </c>
      <c r="ABJ53" s="760">
        <f t="shared" si="47"/>
        <v>15236096094877.084</v>
      </c>
      <c r="ABK53" s="760">
        <f t="shared" si="47"/>
        <v>15693178977723.396</v>
      </c>
      <c r="ABL53" s="760">
        <f t="shared" si="47"/>
        <v>16163974347055.1</v>
      </c>
      <c r="ABM53" s="760">
        <f t="shared" si="47"/>
        <v>16648893577466.754</v>
      </c>
      <c r="ABN53" s="760">
        <f t="shared" si="47"/>
        <v>17148360384790.758</v>
      </c>
      <c r="ABO53" s="760">
        <f t="shared" si="47"/>
        <v>17662811196334.48</v>
      </c>
      <c r="ABP53" s="760">
        <f t="shared" si="47"/>
        <v>18192695532224.516</v>
      </c>
      <c r="ABQ53" s="760">
        <f t="shared" si="47"/>
        <v>18738476398191.25</v>
      </c>
      <c r="ABR53" s="760">
        <f t="shared" si="47"/>
        <v>19300630690136.988</v>
      </c>
      <c r="ABS53" s="760">
        <f t="shared" si="47"/>
        <v>19879649610841.098</v>
      </c>
      <c r="ABT53" s="760">
        <f t="shared" si="47"/>
        <v>20476039099166.332</v>
      </c>
      <c r="ABU53" s="760">
        <f t="shared" si="47"/>
        <v>21090320272141.324</v>
      </c>
      <c r="ABV53" s="760">
        <f t="shared" si="47"/>
        <v>21723029880305.566</v>
      </c>
      <c r="ABW53" s="760">
        <f t="shared" si="47"/>
        <v>22374720776714.734</v>
      </c>
      <c r="ABX53" s="760">
        <f t="shared" si="47"/>
        <v>23045962400016.176</v>
      </c>
      <c r="ABY53" s="760">
        <f t="shared" si="47"/>
        <v>23737341272016.66</v>
      </c>
      <c r="ABZ53" s="760">
        <f t="shared" si="47"/>
        <v>24449461510177.16</v>
      </c>
      <c r="ACA53" s="760">
        <f t="shared" si="47"/>
        <v>25182945355482.477</v>
      </c>
      <c r="ACB53" s="760">
        <f t="shared" si="47"/>
        <v>25938433716146.953</v>
      </c>
      <c r="ACC53" s="760">
        <f t="shared" si="47"/>
        <v>26716586727631.363</v>
      </c>
      <c r="ACD53" s="760">
        <f t="shared" si="47"/>
        <v>27518084329460.305</v>
      </c>
      <c r="ACE53" s="760">
        <f t="shared" si="47"/>
        <v>28343626859344.113</v>
      </c>
      <c r="ACF53" s="760">
        <f t="shared" si="47"/>
        <v>29193935665124.438</v>
      </c>
      <c r="ACG53" s="760">
        <f t="shared" si="47"/>
        <v>30069753735078.172</v>
      </c>
      <c r="ACH53" s="760">
        <f t="shared" si="47"/>
        <v>30971846347130.52</v>
      </c>
      <c r="ACI53" s="760">
        <f t="shared" si="47"/>
        <v>31901001737544.438</v>
      </c>
      <c r="ACJ53" s="760">
        <f t="shared" si="47"/>
        <v>32858031789670.77</v>
      </c>
      <c r="ACK53" s="760">
        <f t="shared" si="47"/>
        <v>33843772743360.895</v>
      </c>
      <c r="ACL53" s="760">
        <f t="shared" si="47"/>
        <v>34859085925661.723</v>
      </c>
      <c r="ACM53" s="760">
        <f t="shared" si="47"/>
        <v>35904858503431.578</v>
      </c>
      <c r="ACN53" s="760">
        <f t="shared" si="47"/>
        <v>36982004258534.523</v>
      </c>
      <c r="ACO53" s="760">
        <f t="shared" si="47"/>
        <v>38091464386290.563</v>
      </c>
      <c r="ACP53" s="760">
        <f t="shared" si="47"/>
        <v>39234208317879.281</v>
      </c>
      <c r="ACQ53" s="760">
        <f t="shared" si="47"/>
        <v>40411234567415.664</v>
      </c>
      <c r="ACR53" s="760">
        <f t="shared" si="47"/>
        <v>41623571604438.133</v>
      </c>
      <c r="ACS53" s="760">
        <f t="shared" si="47"/>
        <v>42872278752571.281</v>
      </c>
      <c r="ACT53" s="760">
        <f t="shared" si="47"/>
        <v>44158447115148.422</v>
      </c>
      <c r="ACU53" s="760">
        <f t="shared" ref="ACU53:AFF53" si="48">+ACT53*$C$53</f>
        <v>45483200528602.875</v>
      </c>
      <c r="ACV53" s="760">
        <f t="shared" si="48"/>
        <v>46847696544460.961</v>
      </c>
      <c r="ACW53" s="760">
        <f t="shared" si="48"/>
        <v>48253127440794.789</v>
      </c>
      <c r="ACX53" s="760">
        <f t="shared" si="48"/>
        <v>49700721264018.633</v>
      </c>
      <c r="ACY53" s="760">
        <f t="shared" si="48"/>
        <v>51191742901939.195</v>
      </c>
      <c r="ACZ53" s="760">
        <f t="shared" si="48"/>
        <v>52727495188997.375</v>
      </c>
      <c r="ADA53" s="760">
        <f t="shared" si="48"/>
        <v>54309320044667.297</v>
      </c>
      <c r="ADB53" s="760">
        <f t="shared" si="48"/>
        <v>55938599646007.32</v>
      </c>
      <c r="ADC53" s="760">
        <f t="shared" si="48"/>
        <v>57616757635387.539</v>
      </c>
      <c r="ADD53" s="760">
        <f t="shared" si="48"/>
        <v>59345260364449.164</v>
      </c>
      <c r="ADE53" s="760">
        <f t="shared" si="48"/>
        <v>61125618175382.641</v>
      </c>
      <c r="ADF53" s="760">
        <f t="shared" si="48"/>
        <v>62959386720644.125</v>
      </c>
      <c r="ADG53" s="760">
        <f t="shared" si="48"/>
        <v>64848168322263.453</v>
      </c>
      <c r="ADH53" s="760">
        <f t="shared" si="48"/>
        <v>66793613371931.359</v>
      </c>
      <c r="ADI53" s="760">
        <f t="shared" si="48"/>
        <v>68797421773089.305</v>
      </c>
      <c r="ADJ53" s="760">
        <f t="shared" si="48"/>
        <v>70861344426281.984</v>
      </c>
      <c r="ADK53" s="760">
        <f t="shared" si="48"/>
        <v>72987184759070.453</v>
      </c>
      <c r="ADL53" s="760">
        <f t="shared" si="48"/>
        <v>75176800301842.563</v>
      </c>
      <c r="ADM53" s="760">
        <f t="shared" si="48"/>
        <v>77432104310897.844</v>
      </c>
      <c r="ADN53" s="760">
        <f t="shared" si="48"/>
        <v>79755067440224.781</v>
      </c>
      <c r="ADO53" s="760">
        <f t="shared" si="48"/>
        <v>82147719463431.531</v>
      </c>
      <c r="ADP53" s="760">
        <f t="shared" si="48"/>
        <v>84612151047334.484</v>
      </c>
      <c r="ADQ53" s="760">
        <f t="shared" si="48"/>
        <v>87150515578754.516</v>
      </c>
      <c r="ADR53" s="760">
        <f t="shared" si="48"/>
        <v>89765031046117.156</v>
      </c>
      <c r="ADS53" s="760">
        <f t="shared" si="48"/>
        <v>92457981977500.672</v>
      </c>
      <c r="ADT53" s="760">
        <f t="shared" si="48"/>
        <v>95231721436825.688</v>
      </c>
      <c r="ADU53" s="760">
        <f t="shared" si="48"/>
        <v>98088673079930.453</v>
      </c>
      <c r="ADV53" s="760">
        <f t="shared" si="48"/>
        <v>101031333272328.38</v>
      </c>
      <c r="ADW53" s="760">
        <f t="shared" si="48"/>
        <v>104062273270498.23</v>
      </c>
      <c r="ADX53" s="760">
        <f t="shared" si="48"/>
        <v>107184141468613.19</v>
      </c>
      <c r="ADY53" s="760">
        <f t="shared" si="48"/>
        <v>110399665712671.59</v>
      </c>
      <c r="ADZ53" s="760">
        <f t="shared" si="48"/>
        <v>113711655684051.75</v>
      </c>
      <c r="AEA53" s="760">
        <f t="shared" si="48"/>
        <v>117123005354573.31</v>
      </c>
      <c r="AEB53" s="760">
        <f t="shared" si="48"/>
        <v>120636695515210.52</v>
      </c>
      <c r="AEC53" s="760">
        <f t="shared" si="48"/>
        <v>124255796380666.83</v>
      </c>
      <c r="AED53" s="760">
        <f t="shared" si="48"/>
        <v>127983470272086.84</v>
      </c>
      <c r="AEE53" s="760">
        <f t="shared" si="48"/>
        <v>131822974380249.45</v>
      </c>
      <c r="AEF53" s="760">
        <f t="shared" si="48"/>
        <v>135777663611656.94</v>
      </c>
      <c r="AEG53" s="760">
        <f t="shared" si="48"/>
        <v>139850993520006.66</v>
      </c>
      <c r="AEH53" s="760">
        <f t="shared" si="48"/>
        <v>144046523325606.88</v>
      </c>
      <c r="AEI53" s="760">
        <f t="shared" si="48"/>
        <v>148367919025375.09</v>
      </c>
      <c r="AEJ53" s="760">
        <f t="shared" si="48"/>
        <v>152818956596136.34</v>
      </c>
      <c r="AEK53" s="760">
        <f t="shared" si="48"/>
        <v>157403525294020.44</v>
      </c>
      <c r="AEL53" s="760">
        <f t="shared" si="48"/>
        <v>162125631052841.06</v>
      </c>
      <c r="AEM53" s="760">
        <f t="shared" si="48"/>
        <v>166989399984426.31</v>
      </c>
      <c r="AEN53" s="760">
        <f t="shared" si="48"/>
        <v>171999081983959.09</v>
      </c>
      <c r="AEO53" s="760">
        <f t="shared" si="48"/>
        <v>177159054443477.88</v>
      </c>
      <c r="AEP53" s="760">
        <f t="shared" si="48"/>
        <v>182473826076782.22</v>
      </c>
      <c r="AEQ53" s="760">
        <f t="shared" si="48"/>
        <v>187948040859085.69</v>
      </c>
      <c r="AER53" s="760">
        <f t="shared" si="48"/>
        <v>193586482084858.25</v>
      </c>
      <c r="AES53" s="760">
        <f t="shared" si="48"/>
        <v>199394076547404</v>
      </c>
      <c r="AET53" s="760">
        <f t="shared" si="48"/>
        <v>205375898843826.13</v>
      </c>
      <c r="AEU53" s="760">
        <f t="shared" si="48"/>
        <v>211537175809140.91</v>
      </c>
      <c r="AEV53" s="760">
        <f t="shared" si="48"/>
        <v>217883291083415.13</v>
      </c>
      <c r="AEW53" s="760">
        <f t="shared" si="48"/>
        <v>224419789815917.59</v>
      </c>
      <c r="AEX53" s="760">
        <f t="shared" si="48"/>
        <v>231152383510395.13</v>
      </c>
      <c r="AEY53" s="760">
        <f t="shared" si="48"/>
        <v>238086955015707</v>
      </c>
      <c r="AEZ53" s="760">
        <f t="shared" si="48"/>
        <v>245229563666178.22</v>
      </c>
      <c r="AFA53" s="760">
        <f t="shared" si="48"/>
        <v>252586450576163.56</v>
      </c>
      <c r="AFB53" s="760">
        <f t="shared" si="48"/>
        <v>260164044093448.47</v>
      </c>
      <c r="AFC53" s="760">
        <f t="shared" si="48"/>
        <v>267968965416251.94</v>
      </c>
      <c r="AFD53" s="760">
        <f t="shared" si="48"/>
        <v>276008034378739.5</v>
      </c>
      <c r="AFE53" s="760">
        <f t="shared" si="48"/>
        <v>284288275410101.69</v>
      </c>
      <c r="AFF53" s="760">
        <f t="shared" si="48"/>
        <v>292816923672404.75</v>
      </c>
      <c r="AFG53" s="760">
        <f t="shared" ref="AFG53:AHR53" si="49">+AFF53*$C$53</f>
        <v>301601431382576.88</v>
      </c>
      <c r="AFH53" s="760">
        <f t="shared" si="49"/>
        <v>310649474324054.19</v>
      </c>
      <c r="AFI53" s="760">
        <f t="shared" si="49"/>
        <v>319968958553775.81</v>
      </c>
      <c r="AFJ53" s="760">
        <f t="shared" si="49"/>
        <v>329568027310389.13</v>
      </c>
      <c r="AFK53" s="760">
        <f t="shared" si="49"/>
        <v>339455068129700.81</v>
      </c>
      <c r="AFL53" s="760">
        <f t="shared" si="49"/>
        <v>349638720173591.88</v>
      </c>
      <c r="AFM53" s="760">
        <f t="shared" si="49"/>
        <v>360127881778799.63</v>
      </c>
      <c r="AFN53" s="760">
        <f t="shared" si="49"/>
        <v>370931718232163.63</v>
      </c>
      <c r="AFO53" s="760">
        <f t="shared" si="49"/>
        <v>382059669779128.56</v>
      </c>
      <c r="AFP53" s="760">
        <f t="shared" si="49"/>
        <v>393521459872502.44</v>
      </c>
      <c r="AFQ53" s="760">
        <f t="shared" si="49"/>
        <v>405327103668677.5</v>
      </c>
      <c r="AFR53" s="760">
        <f t="shared" si="49"/>
        <v>417486916778737.81</v>
      </c>
      <c r="AFS53" s="760">
        <f t="shared" si="49"/>
        <v>430011524282099.94</v>
      </c>
      <c r="AFT53" s="760">
        <f t="shared" si="49"/>
        <v>442911870010562.94</v>
      </c>
      <c r="AFU53" s="760">
        <f t="shared" si="49"/>
        <v>456199226110879.81</v>
      </c>
      <c r="AFV53" s="760">
        <f t="shared" si="49"/>
        <v>469885202894206.25</v>
      </c>
      <c r="AFW53" s="760">
        <f t="shared" si="49"/>
        <v>483981758981032.44</v>
      </c>
      <c r="AFX53" s="760">
        <f t="shared" si="49"/>
        <v>498501211750463.44</v>
      </c>
      <c r="AFY53" s="760">
        <f t="shared" si="49"/>
        <v>513456248102977.38</v>
      </c>
      <c r="AFZ53" s="760">
        <f t="shared" si="49"/>
        <v>528859935546066.69</v>
      </c>
      <c r="AGA53" s="760">
        <f t="shared" si="49"/>
        <v>544725733612448.69</v>
      </c>
      <c r="AGB53" s="760">
        <f t="shared" si="49"/>
        <v>561067505620822.19</v>
      </c>
      <c r="AGC53" s="760">
        <f t="shared" si="49"/>
        <v>577899530789446.88</v>
      </c>
      <c r="AGD53" s="760">
        <f t="shared" si="49"/>
        <v>595236516713130.25</v>
      </c>
      <c r="AGE53" s="760">
        <f t="shared" si="49"/>
        <v>613093612214524.13</v>
      </c>
      <c r="AGF53" s="760">
        <f t="shared" si="49"/>
        <v>631486420580959.88</v>
      </c>
      <c r="AGG53" s="760">
        <f t="shared" si="49"/>
        <v>650431013198388.75</v>
      </c>
      <c r="AGH53" s="760">
        <f t="shared" si="49"/>
        <v>669943943594340.38</v>
      </c>
      <c r="AGI53" s="760">
        <f t="shared" si="49"/>
        <v>690042261902170.63</v>
      </c>
      <c r="AGJ53" s="760">
        <f t="shared" si="49"/>
        <v>710743529759235.75</v>
      </c>
      <c r="AGK53" s="760">
        <f t="shared" si="49"/>
        <v>732065835652012.88</v>
      </c>
      <c r="AGL53" s="760">
        <f t="shared" si="49"/>
        <v>754027810721573.25</v>
      </c>
      <c r="AGM53" s="760">
        <f t="shared" si="49"/>
        <v>776648645043220.5</v>
      </c>
      <c r="AGN53" s="760">
        <f t="shared" si="49"/>
        <v>799948104394517.13</v>
      </c>
      <c r="AGO53" s="760">
        <f t="shared" si="49"/>
        <v>823946547526352.63</v>
      </c>
      <c r="AGP53" s="760">
        <f t="shared" si="49"/>
        <v>848664943952143.25</v>
      </c>
      <c r="AGQ53" s="760">
        <f t="shared" si="49"/>
        <v>874124892270707.63</v>
      </c>
      <c r="AGR53" s="760">
        <f t="shared" si="49"/>
        <v>900348639038828.88</v>
      </c>
      <c r="AGS53" s="760">
        <f t="shared" si="49"/>
        <v>927359098209993.75</v>
      </c>
      <c r="AGT53" s="760">
        <f t="shared" si="49"/>
        <v>955179871156293.63</v>
      </c>
      <c r="AGU53" s="760">
        <f t="shared" si="49"/>
        <v>983835267290982.5</v>
      </c>
      <c r="AGV53" s="760">
        <f t="shared" si="49"/>
        <v>1013350325309712</v>
      </c>
      <c r="AGW53" s="760">
        <f t="shared" si="49"/>
        <v>1043750835069003.4</v>
      </c>
      <c r="AGX53" s="760">
        <f t="shared" si="49"/>
        <v>1075063360121073.5</v>
      </c>
      <c r="AGY53" s="760">
        <f t="shared" si="49"/>
        <v>1107315260924705.8</v>
      </c>
      <c r="AGZ53" s="760">
        <f t="shared" si="49"/>
        <v>1140534718752447</v>
      </c>
      <c r="AHA53" s="760">
        <f t="shared" si="49"/>
        <v>1174750760315020.5</v>
      </c>
      <c r="AHB53" s="760">
        <f t="shared" si="49"/>
        <v>1209993283124471.3</v>
      </c>
      <c r="AHC53" s="760">
        <f t="shared" si="49"/>
        <v>1246293081618205.5</v>
      </c>
      <c r="AHD53" s="760">
        <f t="shared" si="49"/>
        <v>1283681874066751.8</v>
      </c>
      <c r="AHE53" s="760">
        <f t="shared" si="49"/>
        <v>1322192330288754.3</v>
      </c>
      <c r="AHF53" s="760">
        <f t="shared" si="49"/>
        <v>1361858100197417</v>
      </c>
      <c r="AHG53" s="760">
        <f t="shared" si="49"/>
        <v>1402713843203339.5</v>
      </c>
      <c r="AHH53" s="760">
        <f t="shared" si="49"/>
        <v>1444795258499439.8</v>
      </c>
      <c r="AHI53" s="760">
        <f t="shared" si="49"/>
        <v>1488139116254423</v>
      </c>
      <c r="AHJ53" s="760">
        <f t="shared" si="49"/>
        <v>1532783289742055.8</v>
      </c>
      <c r="AHK53" s="760">
        <f t="shared" si="49"/>
        <v>1578766788434317.5</v>
      </c>
      <c r="AHL53" s="760">
        <f t="shared" si="49"/>
        <v>1626129792087347</v>
      </c>
      <c r="AHM53" s="760">
        <f t="shared" si="49"/>
        <v>1674913685849967.5</v>
      </c>
      <c r="AHN53" s="760">
        <f t="shared" si="49"/>
        <v>1725161096425466.5</v>
      </c>
      <c r="AHO53" s="760">
        <f t="shared" si="49"/>
        <v>1776915929318230.5</v>
      </c>
      <c r="AHP53" s="760">
        <f t="shared" si="49"/>
        <v>1830223407197777.5</v>
      </c>
      <c r="AHQ53" s="760">
        <f t="shared" si="49"/>
        <v>1885130109413710.8</v>
      </c>
      <c r="AHR53" s="760">
        <f t="shared" si="49"/>
        <v>1941684012696122</v>
      </c>
      <c r="AHS53" s="760">
        <f t="shared" ref="AHS53:AKD53" si="50">+AHR53*$C$53</f>
        <v>1999934533077005.8</v>
      </c>
      <c r="AHT53" s="760">
        <f t="shared" si="50"/>
        <v>2059932569069316</v>
      </c>
      <c r="AHU53" s="760">
        <f t="shared" si="50"/>
        <v>2121730546141395.5</v>
      </c>
      <c r="AHV53" s="760">
        <f t="shared" si="50"/>
        <v>2185382462525637.5</v>
      </c>
      <c r="AHW53" s="760">
        <f t="shared" si="50"/>
        <v>2250943936401406.8</v>
      </c>
      <c r="AHX53" s="760">
        <f t="shared" si="50"/>
        <v>2318472254493449</v>
      </c>
      <c r="AHY53" s="760">
        <f t="shared" si="50"/>
        <v>2388026422128252.5</v>
      </c>
      <c r="AHZ53" s="760">
        <f t="shared" si="50"/>
        <v>2459667214792100</v>
      </c>
      <c r="AIA53" s="760">
        <f t="shared" si="50"/>
        <v>2533457231235863</v>
      </c>
      <c r="AIB53" s="760">
        <f t="shared" si="50"/>
        <v>2609460948172939</v>
      </c>
      <c r="AIC53" s="760">
        <f t="shared" si="50"/>
        <v>2687744776618127</v>
      </c>
      <c r="AID53" s="760">
        <f t="shared" si="50"/>
        <v>2768377119916671</v>
      </c>
      <c r="AIE53" s="760">
        <f t="shared" si="50"/>
        <v>2851428433514171</v>
      </c>
      <c r="AIF53" s="760">
        <f t="shared" si="50"/>
        <v>2936971286519596</v>
      </c>
      <c r="AIG53" s="760">
        <f t="shared" si="50"/>
        <v>3025080425115184</v>
      </c>
      <c r="AIH53" s="760">
        <f t="shared" si="50"/>
        <v>3115832837868639.5</v>
      </c>
      <c r="AII53" s="760">
        <f t="shared" si="50"/>
        <v>3209307823004699</v>
      </c>
      <c r="AIJ53" s="760">
        <f t="shared" si="50"/>
        <v>3305587057694840</v>
      </c>
      <c r="AIK53" s="760">
        <f t="shared" si="50"/>
        <v>3404754669425685.5</v>
      </c>
      <c r="AIL53" s="760">
        <f t="shared" si="50"/>
        <v>3506897309508456</v>
      </c>
      <c r="AIM53" s="760">
        <f t="shared" si="50"/>
        <v>3612104228793710</v>
      </c>
      <c r="AIN53" s="760">
        <f t="shared" si="50"/>
        <v>3720467355657521.5</v>
      </c>
      <c r="AIO53" s="760">
        <f t="shared" si="50"/>
        <v>3832081376327247</v>
      </c>
      <c r="AIP53" s="760">
        <f t="shared" si="50"/>
        <v>3947043817617064.5</v>
      </c>
      <c r="AIQ53" s="760">
        <f t="shared" si="50"/>
        <v>4065455132145576.5</v>
      </c>
      <c r="AIR53" s="760">
        <f t="shared" si="50"/>
        <v>4187418786109944</v>
      </c>
      <c r="AIS53" s="760">
        <f t="shared" si="50"/>
        <v>4313041349693242.5</v>
      </c>
      <c r="AIT53" s="760">
        <f t="shared" si="50"/>
        <v>4442432590184040</v>
      </c>
      <c r="AIU53" s="760">
        <f t="shared" si="50"/>
        <v>4575705567889561</v>
      </c>
      <c r="AIV53" s="760">
        <f t="shared" si="50"/>
        <v>4712976734926248</v>
      </c>
      <c r="AIW53" s="760">
        <f t="shared" si="50"/>
        <v>4854366036974036</v>
      </c>
      <c r="AIX53" s="760">
        <f t="shared" si="50"/>
        <v>4999997018083257</v>
      </c>
      <c r="AIY53" s="760">
        <f t="shared" si="50"/>
        <v>5149996928625755</v>
      </c>
      <c r="AIZ53" s="760">
        <f t="shared" si="50"/>
        <v>5304496836484528</v>
      </c>
      <c r="AJA53" s="760">
        <f t="shared" si="50"/>
        <v>5463631741579064</v>
      </c>
      <c r="AJB53" s="760">
        <f t="shared" si="50"/>
        <v>5627540693826436</v>
      </c>
      <c r="AJC53" s="760">
        <f t="shared" si="50"/>
        <v>5796366914641229</v>
      </c>
      <c r="AJD53" s="760">
        <f t="shared" si="50"/>
        <v>5970257922080466</v>
      </c>
      <c r="AJE53" s="760">
        <f t="shared" si="50"/>
        <v>6149365659742880</v>
      </c>
      <c r="AJF53" s="760">
        <f t="shared" si="50"/>
        <v>6333846629535167</v>
      </c>
      <c r="AJG53" s="760">
        <f t="shared" si="50"/>
        <v>6523862028421222</v>
      </c>
      <c r="AJH53" s="760">
        <f t="shared" si="50"/>
        <v>6719577889273859</v>
      </c>
      <c r="AJI53" s="760">
        <f t="shared" si="50"/>
        <v>6921165225952075</v>
      </c>
      <c r="AJJ53" s="760">
        <f t="shared" si="50"/>
        <v>7128800182730637</v>
      </c>
      <c r="AJK53" s="760">
        <f t="shared" si="50"/>
        <v>7342664188212556</v>
      </c>
      <c r="AJL53" s="760">
        <f t="shared" si="50"/>
        <v>7562944113858933</v>
      </c>
      <c r="AJM53" s="760">
        <f t="shared" si="50"/>
        <v>7789832437274701</v>
      </c>
      <c r="AJN53" s="760">
        <f t="shared" si="50"/>
        <v>8023527410392942</v>
      </c>
      <c r="AJO53" s="760">
        <f t="shared" si="50"/>
        <v>8264233232704730</v>
      </c>
      <c r="AJP53" s="760">
        <f t="shared" si="50"/>
        <v>8512160229685872</v>
      </c>
      <c r="AJQ53" s="760">
        <f t="shared" si="50"/>
        <v>8767525036576448</v>
      </c>
      <c r="AJR53" s="760">
        <f t="shared" si="50"/>
        <v>9030550787673742</v>
      </c>
      <c r="AJS53" s="760">
        <f t="shared" si="50"/>
        <v>9301467311303954</v>
      </c>
      <c r="AJT53" s="760">
        <f t="shared" si="50"/>
        <v>9580511330643072</v>
      </c>
      <c r="AJU53" s="760">
        <f t="shared" si="50"/>
        <v>9867926670562364</v>
      </c>
      <c r="AJV53" s="760">
        <f t="shared" si="50"/>
        <v>1.0163964470679236E+16</v>
      </c>
      <c r="AJW53" s="760">
        <f t="shared" si="50"/>
        <v>1.0468883404799614E+16</v>
      </c>
      <c r="AJX53" s="760">
        <f t="shared" si="50"/>
        <v>1.0782949906943602E+16</v>
      </c>
      <c r="AJY53" s="760">
        <f t="shared" si="50"/>
        <v>1.110643840415191E+16</v>
      </c>
      <c r="AJZ53" s="760">
        <f t="shared" si="50"/>
        <v>1.1439631556276468E+16</v>
      </c>
      <c r="AKA53" s="760">
        <f t="shared" si="50"/>
        <v>1.1782820502964762E+16</v>
      </c>
      <c r="AKB53" s="760">
        <f t="shared" si="50"/>
        <v>1.2136305118053706E+16</v>
      </c>
      <c r="AKC53" s="760">
        <f t="shared" si="50"/>
        <v>1.2500394271595318E+16</v>
      </c>
      <c r="AKD53" s="760">
        <f t="shared" si="50"/>
        <v>1.2875406099743178E+16</v>
      </c>
      <c r="AKE53" s="760">
        <f t="shared" ref="AKE53:AMP53" si="51">+AKD53*$C$53</f>
        <v>1.3261668282735474E+16</v>
      </c>
      <c r="AKF53" s="760">
        <f t="shared" si="51"/>
        <v>1.3659518331217538E+16</v>
      </c>
      <c r="AKG53" s="760">
        <f t="shared" si="51"/>
        <v>1.4069303881154064E+16</v>
      </c>
      <c r="AKH53" s="760">
        <f t="shared" si="51"/>
        <v>1.4491382997588686E+16</v>
      </c>
      <c r="AKI53" s="760">
        <f t="shared" si="51"/>
        <v>1.4926124487516346E+16</v>
      </c>
      <c r="AKJ53" s="760">
        <f t="shared" si="51"/>
        <v>1.5373908222141836E+16</v>
      </c>
      <c r="AKK53" s="760">
        <f t="shared" si="51"/>
        <v>1.5835125468806092E+16</v>
      </c>
      <c r="AKL53" s="760">
        <f t="shared" si="51"/>
        <v>1.6310179232870276E+16</v>
      </c>
      <c r="AKM53" s="760">
        <f t="shared" si="51"/>
        <v>1.6799484609856384E+16</v>
      </c>
      <c r="AKN53" s="760">
        <f t="shared" si="51"/>
        <v>1.7303469148152076E+16</v>
      </c>
      <c r="AKO53" s="760">
        <f t="shared" si="51"/>
        <v>1.7822573222596638E+16</v>
      </c>
      <c r="AKP53" s="760">
        <f t="shared" si="51"/>
        <v>1.8357250419274536E+16</v>
      </c>
      <c r="AKQ53" s="760">
        <f t="shared" si="51"/>
        <v>1.8907967931852772E+16</v>
      </c>
      <c r="AKR53" s="760">
        <f t="shared" si="51"/>
        <v>1.9475206969808356E+16</v>
      </c>
      <c r="AKS53" s="760">
        <f t="shared" si="51"/>
        <v>2.0059463178902608E+16</v>
      </c>
      <c r="AKT53" s="760">
        <f t="shared" si="51"/>
        <v>2.0661247074269688E+16</v>
      </c>
      <c r="AKU53" s="760">
        <f t="shared" si="51"/>
        <v>2.128108448649778E+16</v>
      </c>
      <c r="AKV53" s="760">
        <f t="shared" si="51"/>
        <v>2.1919517021092712E+16</v>
      </c>
      <c r="AKW53" s="760">
        <f t="shared" si="51"/>
        <v>2.2577102531725492E+16</v>
      </c>
      <c r="AKX53" s="760">
        <f t="shared" si="51"/>
        <v>2.3254415607677256E+16</v>
      </c>
      <c r="AKY53" s="760">
        <f t="shared" si="51"/>
        <v>2.3952048075907576E+16</v>
      </c>
      <c r="AKZ53" s="760">
        <f t="shared" si="51"/>
        <v>2.4670609518184804E+16</v>
      </c>
      <c r="ALA53" s="760">
        <f t="shared" si="51"/>
        <v>2.5410727803730348E+16</v>
      </c>
      <c r="ALB53" s="760">
        <f t="shared" si="51"/>
        <v>2.617304963784226E+16</v>
      </c>
      <c r="ALC53" s="760">
        <f t="shared" si="51"/>
        <v>2.6958241126977528E+16</v>
      </c>
      <c r="ALD53" s="760">
        <f t="shared" si="51"/>
        <v>2.7766988360786856E+16</v>
      </c>
      <c r="ALE53" s="760">
        <f t="shared" si="51"/>
        <v>2.8599998011610464E+16</v>
      </c>
      <c r="ALF53" s="760">
        <f t="shared" si="51"/>
        <v>2.945799795195878E+16</v>
      </c>
      <c r="ALG53" s="760">
        <f t="shared" si="51"/>
        <v>3.0341737890517544E+16</v>
      </c>
      <c r="ALH53" s="760">
        <f t="shared" si="51"/>
        <v>3.1251990027233072E+16</v>
      </c>
      <c r="ALI53" s="760">
        <f t="shared" si="51"/>
        <v>3.2189549728050064E+16</v>
      </c>
      <c r="ALJ53" s="760">
        <f t="shared" si="51"/>
        <v>3.3155236219891568E+16</v>
      </c>
      <c r="ALK53" s="760">
        <f t="shared" si="51"/>
        <v>3.4149893306488316E+16</v>
      </c>
      <c r="ALL53" s="760">
        <f t="shared" si="51"/>
        <v>3.5174390105682968E+16</v>
      </c>
      <c r="ALM53" s="760">
        <f t="shared" si="51"/>
        <v>3.6229621808853456E+16</v>
      </c>
      <c r="ALN53" s="760">
        <f t="shared" si="51"/>
        <v>3.7316510463119064E+16</v>
      </c>
      <c r="ALO53" s="760">
        <f t="shared" si="51"/>
        <v>3.843600577701264E+16</v>
      </c>
      <c r="ALP53" s="760">
        <f t="shared" si="51"/>
        <v>3.9589085950323024E+16</v>
      </c>
      <c r="ALQ53" s="760">
        <f t="shared" si="51"/>
        <v>4.0776758528832712E+16</v>
      </c>
      <c r="ALR53" s="760">
        <f t="shared" si="51"/>
        <v>4.2000061284697696E+16</v>
      </c>
      <c r="ALS53" s="760">
        <f t="shared" si="51"/>
        <v>4.3260063123238624E+16</v>
      </c>
      <c r="ALT53" s="760">
        <f t="shared" si="51"/>
        <v>4.4557865016935784E+16</v>
      </c>
      <c r="ALU53" s="760">
        <f t="shared" si="51"/>
        <v>4.5894600967443856E+16</v>
      </c>
      <c r="ALV53" s="760">
        <f t="shared" si="51"/>
        <v>4.7271438996467176E+16</v>
      </c>
      <c r="ALW53" s="760">
        <f t="shared" si="51"/>
        <v>4.8689582166361192E+16</v>
      </c>
      <c r="ALX53" s="760">
        <f t="shared" si="51"/>
        <v>5.0150269631352032E+16</v>
      </c>
      <c r="ALY53" s="760">
        <f t="shared" si="51"/>
        <v>5.1654777720292592E+16</v>
      </c>
      <c r="ALZ53" s="760">
        <f t="shared" si="51"/>
        <v>5.3204421051901368E+16</v>
      </c>
      <c r="AMA53" s="760">
        <f t="shared" si="51"/>
        <v>5.4800553683458408E+16</v>
      </c>
      <c r="AMB53" s="760">
        <f t="shared" si="51"/>
        <v>5.644457029396216E+16</v>
      </c>
      <c r="AMC53" s="760">
        <f t="shared" si="51"/>
        <v>5.8137907402781024E+16</v>
      </c>
      <c r="AMD53" s="760">
        <f t="shared" si="51"/>
        <v>5.9882044624864456E+16</v>
      </c>
      <c r="AME53" s="760">
        <f t="shared" si="51"/>
        <v>6.1678505963610392E+16</v>
      </c>
      <c r="AMF53" s="760">
        <f t="shared" si="51"/>
        <v>6.3528861142518704E+16</v>
      </c>
      <c r="AMG53" s="760">
        <f t="shared" si="51"/>
        <v>6.5434726976794264E+16</v>
      </c>
      <c r="AMH53" s="760">
        <f t="shared" si="51"/>
        <v>6.7397768786098096E+16</v>
      </c>
      <c r="AMI53" s="760">
        <f t="shared" si="51"/>
        <v>6.941970184968104E+16</v>
      </c>
      <c r="AMJ53" s="760">
        <f t="shared" si="51"/>
        <v>7.1502292905171472E+16</v>
      </c>
      <c r="AMK53" s="760">
        <f t="shared" si="51"/>
        <v>7.3647361692326624E+16</v>
      </c>
      <c r="AML53" s="760">
        <f t="shared" si="51"/>
        <v>7.5856782543096432E+16</v>
      </c>
      <c r="AMM53" s="760">
        <f t="shared" si="51"/>
        <v>7.8132486019389328E+16</v>
      </c>
      <c r="AMN53" s="760">
        <f t="shared" si="51"/>
        <v>8.0476460599971008E+16</v>
      </c>
      <c r="AMO53" s="760">
        <f t="shared" si="51"/>
        <v>8.2890754417970144E+16</v>
      </c>
      <c r="AMP53" s="760">
        <f t="shared" si="51"/>
        <v>8.5377477050509248E+16</v>
      </c>
      <c r="AMQ53" s="760">
        <f t="shared" ref="AMQ53:APB53" si="52">+AMP53*$C$53</f>
        <v>8.7938801362024528E+16</v>
      </c>
      <c r="AMR53" s="760">
        <f t="shared" si="52"/>
        <v>9.0576965402885264E+16</v>
      </c>
      <c r="AMS53" s="760">
        <f t="shared" si="52"/>
        <v>9.3294274364971824E+16</v>
      </c>
      <c r="AMT53" s="760">
        <f t="shared" si="52"/>
        <v>9.6093102595920976E+16</v>
      </c>
      <c r="AMU53" s="760">
        <f t="shared" si="52"/>
        <v>9.8975895673798608E+16</v>
      </c>
      <c r="AMV53" s="760">
        <f t="shared" si="52"/>
        <v>1.0194517254401258E+17</v>
      </c>
      <c r="AMW53" s="760">
        <f t="shared" si="52"/>
        <v>1.0500352772033296E+17</v>
      </c>
      <c r="AMX53" s="760">
        <f t="shared" si="52"/>
        <v>1.0815363355194294E+17</v>
      </c>
      <c r="AMY53" s="760">
        <f t="shared" si="52"/>
        <v>1.1139824255850123E+17</v>
      </c>
      <c r="AMZ53" s="760">
        <f t="shared" si="52"/>
        <v>1.1474018983525627E+17</v>
      </c>
      <c r="ANA53" s="760">
        <f t="shared" si="52"/>
        <v>1.1818239553031397E+17</v>
      </c>
      <c r="ANB53" s="760">
        <f t="shared" si="52"/>
        <v>1.2172786739622339E+17</v>
      </c>
      <c r="ANC53" s="760">
        <f t="shared" si="52"/>
        <v>1.253797034181101E+17</v>
      </c>
      <c r="AND53" s="760">
        <f t="shared" si="52"/>
        <v>1.2914109452065341E+17</v>
      </c>
      <c r="ANE53" s="760">
        <f t="shared" si="52"/>
        <v>1.3301532735627301E+17</v>
      </c>
      <c r="ANF53" s="760">
        <f t="shared" si="52"/>
        <v>1.370057871769612E+17</v>
      </c>
      <c r="ANG53" s="760">
        <f t="shared" si="52"/>
        <v>1.4111596079227003E+17</v>
      </c>
      <c r="ANH53" s="760">
        <f t="shared" si="52"/>
        <v>1.4534943961603814E+17</v>
      </c>
      <c r="ANI53" s="760">
        <f t="shared" si="52"/>
        <v>1.497099228045193E+17</v>
      </c>
      <c r="ANJ53" s="760">
        <f t="shared" si="52"/>
        <v>1.5420122048865488E+17</v>
      </c>
      <c r="ANK53" s="760">
        <f t="shared" si="52"/>
        <v>1.5882725710331453E+17</v>
      </c>
      <c r="ANL53" s="760">
        <f t="shared" si="52"/>
        <v>1.6359207481641398E+17</v>
      </c>
      <c r="ANM53" s="760">
        <f t="shared" si="52"/>
        <v>1.684998370609064E+17</v>
      </c>
      <c r="ANN53" s="760">
        <f t="shared" si="52"/>
        <v>1.735548321727336E+17</v>
      </c>
      <c r="ANO53" s="760">
        <f t="shared" si="52"/>
        <v>1.7876147713791562E+17</v>
      </c>
      <c r="ANP53" s="760">
        <f t="shared" si="52"/>
        <v>1.8412432145205309E+17</v>
      </c>
      <c r="ANQ53" s="760">
        <f t="shared" si="52"/>
        <v>1.8964805109561469E+17</v>
      </c>
      <c r="ANR53" s="760">
        <f t="shared" si="52"/>
        <v>1.9533749262848314E+17</v>
      </c>
      <c r="ANS53" s="760">
        <f t="shared" si="52"/>
        <v>2.0119761740733763E+17</v>
      </c>
      <c r="ANT53" s="760">
        <f t="shared" si="52"/>
        <v>2.0723354592955776E+17</v>
      </c>
      <c r="ANU53" s="760">
        <f t="shared" si="52"/>
        <v>2.1345055230744451E+17</v>
      </c>
      <c r="ANV53" s="760">
        <f t="shared" si="52"/>
        <v>2.1985406887666784E+17</v>
      </c>
      <c r="ANW53" s="760">
        <f t="shared" si="52"/>
        <v>2.2644969094296787E+17</v>
      </c>
      <c r="ANX53" s="760">
        <f t="shared" si="52"/>
        <v>2.3324318167125693E+17</v>
      </c>
      <c r="ANY53" s="760">
        <f t="shared" si="52"/>
        <v>2.4024047712139466E+17</v>
      </c>
      <c r="ANZ53" s="760">
        <f t="shared" si="52"/>
        <v>2.4744769143503651E+17</v>
      </c>
      <c r="AOA53" s="760">
        <f t="shared" si="52"/>
        <v>2.5487112217808762E+17</v>
      </c>
      <c r="AOB53" s="760">
        <f t="shared" si="52"/>
        <v>2.6251725584343024E+17</v>
      </c>
      <c r="AOC53" s="760">
        <f t="shared" si="52"/>
        <v>2.7039277351873315E+17</v>
      </c>
      <c r="AOD53" s="760">
        <f t="shared" si="52"/>
        <v>2.7850455672429517E+17</v>
      </c>
      <c r="AOE53" s="760">
        <f t="shared" si="52"/>
        <v>2.8685969342602403E+17</v>
      </c>
      <c r="AOF53" s="760">
        <f t="shared" si="52"/>
        <v>2.9546548422880474E+17</v>
      </c>
      <c r="AOG53" s="760">
        <f t="shared" si="52"/>
        <v>3.0432944875566886E+17</v>
      </c>
      <c r="AOH53" s="760">
        <f t="shared" si="52"/>
        <v>3.1345933221833894E+17</v>
      </c>
      <c r="AOI53" s="760">
        <f t="shared" si="52"/>
        <v>3.2286311218488915E+17</v>
      </c>
      <c r="AOJ53" s="760">
        <f t="shared" si="52"/>
        <v>3.3254900555043584E+17</v>
      </c>
      <c r="AOK53" s="760">
        <f t="shared" si="52"/>
        <v>3.4252547571694893E+17</v>
      </c>
      <c r="AOL53" s="760">
        <f t="shared" si="52"/>
        <v>3.5280123998845741E+17</v>
      </c>
      <c r="AOM53" s="760">
        <f t="shared" si="52"/>
        <v>3.6338527718811117E+17</v>
      </c>
      <c r="AON53" s="760">
        <f t="shared" si="52"/>
        <v>3.742868355037545E+17</v>
      </c>
      <c r="AOO53" s="760">
        <f t="shared" si="52"/>
        <v>3.8551544056886714E+17</v>
      </c>
      <c r="AOP53" s="760">
        <f t="shared" si="52"/>
        <v>3.9708090378593318E+17</v>
      </c>
      <c r="AOQ53" s="760">
        <f t="shared" si="52"/>
        <v>4.0899333089951117E+17</v>
      </c>
      <c r="AOR53" s="760">
        <f t="shared" si="52"/>
        <v>4.2126313082649651E+17</v>
      </c>
      <c r="AOS53" s="760">
        <f t="shared" si="52"/>
        <v>4.3390102475129139E+17</v>
      </c>
      <c r="AOT53" s="760">
        <f t="shared" si="52"/>
        <v>4.4691805549383014E+17</v>
      </c>
      <c r="AOU53" s="760">
        <f t="shared" si="52"/>
        <v>4.6032559715864506E+17</v>
      </c>
      <c r="AOV53" s="760">
        <f t="shared" si="52"/>
        <v>4.7413536507340442E+17</v>
      </c>
      <c r="AOW53" s="760">
        <f t="shared" si="52"/>
        <v>4.8835942602560659E+17</v>
      </c>
      <c r="AOX53" s="760">
        <f t="shared" si="52"/>
        <v>5.0301020880637478E+17</v>
      </c>
      <c r="AOY53" s="760">
        <f t="shared" si="52"/>
        <v>5.1810051507056602E+17</v>
      </c>
      <c r="AOZ53" s="760">
        <f t="shared" si="52"/>
        <v>5.3364353052268301E+17</v>
      </c>
      <c r="APA53" s="760">
        <f t="shared" si="52"/>
        <v>5.4965283643836352E+17</v>
      </c>
      <c r="APB53" s="760">
        <f t="shared" si="52"/>
        <v>5.6614242153151443E+17</v>
      </c>
      <c r="APC53" s="760">
        <f t="shared" ref="APC53:ARN53" si="53">+APB53*$C$53</f>
        <v>5.8312669417745984E+17</v>
      </c>
      <c r="APD53" s="760">
        <f t="shared" si="53"/>
        <v>6.0062049500278362E+17</v>
      </c>
      <c r="APE53" s="760">
        <f t="shared" si="53"/>
        <v>6.186391098528672E+17</v>
      </c>
      <c r="APF53" s="760">
        <f t="shared" si="53"/>
        <v>6.3719828314845325E+17</v>
      </c>
      <c r="APG53" s="760">
        <f t="shared" si="53"/>
        <v>6.5631423164290688E+17</v>
      </c>
      <c r="APH53" s="760">
        <f t="shared" si="53"/>
        <v>6.7600365859219405E+17</v>
      </c>
      <c r="API53" s="760">
        <f t="shared" si="53"/>
        <v>6.9628376834995994E+17</v>
      </c>
      <c r="APJ53" s="760">
        <f t="shared" si="53"/>
        <v>7.1717228140045875E+17</v>
      </c>
      <c r="APK53" s="760">
        <f t="shared" si="53"/>
        <v>7.3868744984247258E+17</v>
      </c>
      <c r="APL53" s="760">
        <f t="shared" si="53"/>
        <v>7.6084807333774682E+17</v>
      </c>
      <c r="APM53" s="760">
        <f t="shared" si="53"/>
        <v>7.836735155378793E+17</v>
      </c>
      <c r="APN53" s="760">
        <f t="shared" si="53"/>
        <v>8.0718372100401574E+17</v>
      </c>
      <c r="APO53" s="760">
        <f t="shared" si="53"/>
        <v>8.3139923263413619E+17</v>
      </c>
      <c r="APP53" s="760">
        <f t="shared" si="53"/>
        <v>8.5634120961316032E+17</v>
      </c>
      <c r="APQ53" s="760">
        <f t="shared" si="53"/>
        <v>8.820314459015552E+17</v>
      </c>
      <c r="APR53" s="760">
        <f t="shared" si="53"/>
        <v>9.0849238927860186E+17</v>
      </c>
      <c r="APS53" s="760">
        <f t="shared" si="53"/>
        <v>9.3574716095695987E+17</v>
      </c>
      <c r="APT53" s="760">
        <f t="shared" si="53"/>
        <v>9.6381957578566874E+17</v>
      </c>
      <c r="APU53" s="760">
        <f t="shared" si="53"/>
        <v>9.9273416305923878E+17</v>
      </c>
      <c r="APV53" s="760">
        <f t="shared" si="53"/>
        <v>1.0225161879510159E+18</v>
      </c>
      <c r="APW53" s="760">
        <f t="shared" si="53"/>
        <v>1.0531916735895465E+18</v>
      </c>
      <c r="APX53" s="760">
        <f t="shared" si="53"/>
        <v>1.0847874237972329E+18</v>
      </c>
      <c r="APY53" s="760">
        <f t="shared" si="53"/>
        <v>1.11733104651115E+18</v>
      </c>
      <c r="APZ53" s="760">
        <f t="shared" si="53"/>
        <v>1.1508509779064845E+18</v>
      </c>
      <c r="AQA53" s="760">
        <f t="shared" si="53"/>
        <v>1.185376507243679E+18</v>
      </c>
      <c r="AQB53" s="760">
        <f t="shared" si="53"/>
        <v>1.2209378024609894E+18</v>
      </c>
      <c r="AQC53" s="760">
        <f t="shared" si="53"/>
        <v>1.2575659365348191E+18</v>
      </c>
      <c r="AQD53" s="760">
        <f t="shared" si="53"/>
        <v>1.2952929146308636E+18</v>
      </c>
      <c r="AQE53" s="760">
        <f t="shared" si="53"/>
        <v>1.3341517020697894E+18</v>
      </c>
      <c r="AQF53" s="760">
        <f t="shared" si="53"/>
        <v>1.3741762531318833E+18</v>
      </c>
      <c r="AQG53" s="760">
        <f t="shared" si="53"/>
        <v>1.4154015407258399E+18</v>
      </c>
      <c r="AQH53" s="760">
        <f t="shared" si="53"/>
        <v>1.4578635869476152E+18</v>
      </c>
      <c r="AQI53" s="760">
        <f t="shared" si="53"/>
        <v>1.5015994945560438E+18</v>
      </c>
      <c r="AQJ53" s="760">
        <f t="shared" si="53"/>
        <v>1.5466474793927252E+18</v>
      </c>
      <c r="AQK53" s="760">
        <f t="shared" si="53"/>
        <v>1.593046903774507E+18</v>
      </c>
      <c r="AQL53" s="760">
        <f t="shared" si="53"/>
        <v>1.6408383108877422E+18</v>
      </c>
      <c r="AQM53" s="760">
        <f t="shared" si="53"/>
        <v>1.6900634602143744E+18</v>
      </c>
      <c r="AQN53" s="760">
        <f t="shared" si="53"/>
        <v>1.7407653640208056E+18</v>
      </c>
      <c r="AQO53" s="760">
        <f t="shared" si="53"/>
        <v>1.7929883249414298E+18</v>
      </c>
      <c r="AQP53" s="760">
        <f t="shared" si="53"/>
        <v>1.8467779746896727E+18</v>
      </c>
      <c r="AQQ53" s="760">
        <f t="shared" si="53"/>
        <v>1.9021813139303629E+18</v>
      </c>
      <c r="AQR53" s="760">
        <f t="shared" si="53"/>
        <v>1.9592467533482739E+18</v>
      </c>
      <c r="AQS53" s="760">
        <f t="shared" si="53"/>
        <v>2.0180241559487222E+18</v>
      </c>
      <c r="AQT53" s="760">
        <f t="shared" si="53"/>
        <v>2.0785648806271839E+18</v>
      </c>
      <c r="AQU53" s="760">
        <f t="shared" si="53"/>
        <v>2.1409218270459994E+18</v>
      </c>
      <c r="AQV53" s="760">
        <f t="shared" si="53"/>
        <v>2.2051494818573793E+18</v>
      </c>
      <c r="AQW53" s="760">
        <f t="shared" si="53"/>
        <v>2.2713039663131008E+18</v>
      </c>
      <c r="AQX53" s="760">
        <f t="shared" si="53"/>
        <v>2.3394430853024937E+18</v>
      </c>
      <c r="AQY53" s="760">
        <f t="shared" si="53"/>
        <v>2.4096263778615685E+18</v>
      </c>
      <c r="AQZ53" s="760">
        <f t="shared" si="53"/>
        <v>2.4819151691974154E+18</v>
      </c>
      <c r="ARA53" s="760">
        <f t="shared" si="53"/>
        <v>2.5563726242733379E+18</v>
      </c>
      <c r="ARB53" s="760">
        <f t="shared" si="53"/>
        <v>2.633063803001538E+18</v>
      </c>
      <c r="ARC53" s="760">
        <f t="shared" si="53"/>
        <v>2.7120557170915845E+18</v>
      </c>
      <c r="ARD53" s="760">
        <f t="shared" si="53"/>
        <v>2.793417388604332E+18</v>
      </c>
      <c r="ARE53" s="760">
        <f t="shared" si="53"/>
        <v>2.877219910262462E+18</v>
      </c>
      <c r="ARF53" s="760">
        <f t="shared" si="53"/>
        <v>2.9635365075703357E+18</v>
      </c>
      <c r="ARG53" s="760">
        <f t="shared" si="53"/>
        <v>3.0524426027974461E+18</v>
      </c>
      <c r="ARH53" s="760">
        <f t="shared" si="53"/>
        <v>3.1440158808813696E+18</v>
      </c>
      <c r="ARI53" s="760">
        <f t="shared" si="53"/>
        <v>3.2383363573078108E+18</v>
      </c>
      <c r="ARJ53" s="760">
        <f t="shared" si="53"/>
        <v>3.3354864480270454E+18</v>
      </c>
      <c r="ARK53" s="760">
        <f t="shared" si="53"/>
        <v>3.4355510414678569E+18</v>
      </c>
      <c r="ARL53" s="760">
        <f t="shared" si="53"/>
        <v>3.5386175727118925E+18</v>
      </c>
      <c r="ARM53" s="760">
        <f t="shared" si="53"/>
        <v>3.6447760998932495E+18</v>
      </c>
      <c r="ARN53" s="760">
        <f t="shared" si="53"/>
        <v>3.754119382890047E+18</v>
      </c>
      <c r="ARO53" s="760">
        <f t="shared" ref="ARO53:ATZ53" si="54">+ARN53*$C$53</f>
        <v>3.8667429643767485E+18</v>
      </c>
      <c r="ARP53" s="760">
        <f t="shared" si="54"/>
        <v>3.9827452533080509E+18</v>
      </c>
      <c r="ARQ53" s="760">
        <f t="shared" si="54"/>
        <v>4.1022276109072927E+18</v>
      </c>
      <c r="ARR53" s="760">
        <f t="shared" si="54"/>
        <v>4.2252944392345114E+18</v>
      </c>
      <c r="ARS53" s="760">
        <f t="shared" si="54"/>
        <v>4.3520532724115466E+18</v>
      </c>
      <c r="ART53" s="760">
        <f t="shared" si="54"/>
        <v>4.482614870583893E+18</v>
      </c>
      <c r="ARU53" s="760">
        <f t="shared" si="54"/>
        <v>4.6170933167014103E+18</v>
      </c>
      <c r="ARV53" s="760">
        <f t="shared" si="54"/>
        <v>4.755606116202453E+18</v>
      </c>
      <c r="ARW53" s="760">
        <f t="shared" si="54"/>
        <v>4.8982742996885268E+18</v>
      </c>
      <c r="ARX53" s="760">
        <f t="shared" si="54"/>
        <v>5.0452225286791823E+18</v>
      </c>
      <c r="ARY53" s="760">
        <f t="shared" si="54"/>
        <v>5.1965792045395579E+18</v>
      </c>
      <c r="ARZ53" s="760">
        <f t="shared" si="54"/>
        <v>5.3524765806757448E+18</v>
      </c>
      <c r="ASA53" s="760">
        <f t="shared" si="54"/>
        <v>5.5130508780960174E+18</v>
      </c>
      <c r="ASB53" s="760">
        <f t="shared" si="54"/>
        <v>5.6784424044388977E+18</v>
      </c>
      <c r="ASC53" s="760">
        <f t="shared" si="54"/>
        <v>5.8487956765720648E+18</v>
      </c>
      <c r="ASD53" s="760">
        <f t="shared" si="54"/>
        <v>6.0242595468692265E+18</v>
      </c>
      <c r="ASE53" s="760">
        <f t="shared" si="54"/>
        <v>6.2049873332753039E+18</v>
      </c>
      <c r="ASF53" s="760">
        <f t="shared" si="54"/>
        <v>6.3911369532735631E+18</v>
      </c>
      <c r="ASG53" s="760">
        <f t="shared" si="54"/>
        <v>6.5828710618717706E+18</v>
      </c>
      <c r="ASH53" s="760">
        <f t="shared" si="54"/>
        <v>6.7803571937279242E+18</v>
      </c>
      <c r="ASI53" s="760">
        <f t="shared" si="54"/>
        <v>6.9837679095397622E+18</v>
      </c>
      <c r="ASJ53" s="760">
        <f t="shared" si="54"/>
        <v>7.1932809468259553E+18</v>
      </c>
      <c r="ASK53" s="760">
        <f t="shared" si="54"/>
        <v>7.4090793752307343E+18</v>
      </c>
      <c r="ASL53" s="760">
        <f t="shared" si="54"/>
        <v>7.6313517564876564E+18</v>
      </c>
      <c r="ASM53" s="760">
        <f t="shared" si="54"/>
        <v>7.8602923091822868E+18</v>
      </c>
      <c r="ASN53" s="760">
        <f t="shared" si="54"/>
        <v>8.0961010784577556E+18</v>
      </c>
      <c r="ASO53" s="760">
        <f t="shared" si="54"/>
        <v>8.3389841108114883E+18</v>
      </c>
      <c r="ASP53" s="760">
        <f t="shared" si="54"/>
        <v>8.5891536341358336E+18</v>
      </c>
      <c r="ASQ53" s="760">
        <f t="shared" si="54"/>
        <v>8.8468282431599084E+18</v>
      </c>
      <c r="ASR53" s="760">
        <f t="shared" si="54"/>
        <v>9.1122330904547062E+18</v>
      </c>
      <c r="ASS53" s="760">
        <f t="shared" si="54"/>
        <v>9.3856000831683482E+18</v>
      </c>
      <c r="AST53" s="760">
        <f t="shared" si="54"/>
        <v>9.6671680856633979E+18</v>
      </c>
      <c r="ASU53" s="760">
        <f t="shared" si="54"/>
        <v>9.9571831282333E+18</v>
      </c>
      <c r="ASV53" s="760">
        <f t="shared" si="54"/>
        <v>1.0255898622080299E+19</v>
      </c>
      <c r="ASW53" s="760">
        <f t="shared" si="54"/>
        <v>1.0563575580742709E+19</v>
      </c>
      <c r="ASX53" s="760">
        <f t="shared" si="54"/>
        <v>1.0880482848164991E+19</v>
      </c>
      <c r="ASY53" s="760">
        <f t="shared" si="54"/>
        <v>1.1206897333609941E+19</v>
      </c>
      <c r="ASZ53" s="760">
        <f t="shared" si="54"/>
        <v>1.1543104253618239E+19</v>
      </c>
      <c r="ATA53" s="760">
        <f t="shared" si="54"/>
        <v>1.1889397381226787E+19</v>
      </c>
      <c r="ATB53" s="760">
        <f t="shared" si="54"/>
        <v>1.224607930266359E+19</v>
      </c>
      <c r="ATC53" s="760">
        <f t="shared" si="54"/>
        <v>1.2613461681743497E+19</v>
      </c>
      <c r="ATD53" s="760">
        <f t="shared" si="54"/>
        <v>1.2991865532195803E+19</v>
      </c>
      <c r="ATE53" s="760">
        <f t="shared" si="54"/>
        <v>1.3381621498161678E+19</v>
      </c>
      <c r="ATF53" s="760">
        <f t="shared" si="54"/>
        <v>1.3783070143106529E+19</v>
      </c>
      <c r="ATG53" s="760">
        <f t="shared" si="54"/>
        <v>1.4196562247399725E+19</v>
      </c>
      <c r="ATH53" s="760">
        <f t="shared" si="54"/>
        <v>1.4622459114821718E+19</v>
      </c>
      <c r="ATI53" s="760">
        <f t="shared" si="54"/>
        <v>1.5061132888266369E+19</v>
      </c>
      <c r="ATJ53" s="760">
        <f t="shared" si="54"/>
        <v>1.5512966874914361E+19</v>
      </c>
      <c r="ATK53" s="760">
        <f t="shared" si="54"/>
        <v>1.5978355881161794E+19</v>
      </c>
      <c r="ATL53" s="760">
        <f t="shared" si="54"/>
        <v>1.6457706557596647E+19</v>
      </c>
      <c r="ATM53" s="760">
        <f t="shared" si="54"/>
        <v>1.6951437754324548E+19</v>
      </c>
      <c r="ATN53" s="760">
        <f t="shared" si="54"/>
        <v>1.7459980886954285E+19</v>
      </c>
      <c r="ATO53" s="760">
        <f t="shared" si="54"/>
        <v>1.7983780313562915E+19</v>
      </c>
      <c r="ATP53" s="760">
        <f t="shared" si="54"/>
        <v>1.8523293722969801E+19</v>
      </c>
      <c r="ATQ53" s="760">
        <f t="shared" si="54"/>
        <v>1.9078992534658896E+19</v>
      </c>
      <c r="ATR53" s="760">
        <f t="shared" si="54"/>
        <v>1.9651362310698664E+19</v>
      </c>
      <c r="ATS53" s="760">
        <f t="shared" si="54"/>
        <v>2.0240903180019626E+19</v>
      </c>
      <c r="ATT53" s="760">
        <f t="shared" si="54"/>
        <v>2.0848130275420217E+19</v>
      </c>
      <c r="ATU53" s="760">
        <f t="shared" si="54"/>
        <v>2.1473574183682826E+19</v>
      </c>
      <c r="ATV53" s="760">
        <f t="shared" si="54"/>
        <v>2.2117781409193312E+19</v>
      </c>
      <c r="ATW53" s="760">
        <f t="shared" si="54"/>
        <v>2.2781314851469111E+19</v>
      </c>
      <c r="ATX53" s="760">
        <f t="shared" si="54"/>
        <v>2.3464754297013187E+19</v>
      </c>
      <c r="ATY53" s="760">
        <f t="shared" si="54"/>
        <v>2.4168696925923582E+19</v>
      </c>
      <c r="ATZ53" s="760">
        <f t="shared" si="54"/>
        <v>2.489375783370129E+19</v>
      </c>
      <c r="AUA53" s="760">
        <f t="shared" ref="AUA53:AWL53" si="55">+ATZ53*$C$53</f>
        <v>2.5640570568712331E+19</v>
      </c>
      <c r="AUB53" s="760">
        <f t="shared" si="55"/>
        <v>2.6409787685773701E+19</v>
      </c>
      <c r="AUC53" s="760">
        <f t="shared" si="55"/>
        <v>2.7202081316346913E+19</v>
      </c>
      <c r="AUD53" s="760">
        <f t="shared" si="55"/>
        <v>2.8018143755837321E+19</v>
      </c>
      <c r="AUE53" s="760">
        <f t="shared" si="55"/>
        <v>2.885868806851244E+19</v>
      </c>
      <c r="AUF53" s="760">
        <f t="shared" si="55"/>
        <v>2.9724448710567813E+19</v>
      </c>
      <c r="AUG53" s="760">
        <f t="shared" si="55"/>
        <v>3.0616182171884847E+19</v>
      </c>
      <c r="AUH53" s="760">
        <f t="shared" si="55"/>
        <v>3.1534667637041394E+19</v>
      </c>
      <c r="AUI53" s="760">
        <f t="shared" si="55"/>
        <v>3.2480707666152636E+19</v>
      </c>
      <c r="AUJ53" s="760">
        <f t="shared" si="55"/>
        <v>3.3455128896137216E+19</v>
      </c>
      <c r="AUK53" s="760">
        <f t="shared" si="55"/>
        <v>3.4458782763021332E+19</v>
      </c>
      <c r="AUL53" s="760">
        <f t="shared" si="55"/>
        <v>3.5492546245911974E+19</v>
      </c>
      <c r="AUM53" s="760">
        <f t="shared" si="55"/>
        <v>3.6557322633289335E+19</v>
      </c>
      <c r="AUN53" s="760">
        <f t="shared" si="55"/>
        <v>3.7654042312288018E+19</v>
      </c>
      <c r="AUO53" s="760">
        <f t="shared" si="55"/>
        <v>3.8783663581656662E+19</v>
      </c>
      <c r="AUP53" s="760">
        <f t="shared" si="55"/>
        <v>3.9947173489106362E+19</v>
      </c>
      <c r="AUQ53" s="760">
        <f t="shared" si="55"/>
        <v>4.1145588693779554E+19</v>
      </c>
      <c r="AUR53" s="760">
        <f t="shared" si="55"/>
        <v>4.237995635459294E+19</v>
      </c>
      <c r="AUS53" s="760">
        <f t="shared" si="55"/>
        <v>4.3651355045230731E+19</v>
      </c>
      <c r="AUT53" s="760">
        <f t="shared" si="55"/>
        <v>4.4960895696587653E+19</v>
      </c>
      <c r="AUU53" s="760">
        <f t="shared" si="55"/>
        <v>4.6309722567485284E+19</v>
      </c>
      <c r="AUV53" s="760">
        <f t="shared" si="55"/>
        <v>4.7699014244509843E+19</v>
      </c>
      <c r="AUW53" s="760">
        <f t="shared" si="55"/>
        <v>4.9129984671845138E+19</v>
      </c>
      <c r="AUX53" s="760">
        <f t="shared" si="55"/>
        <v>5.0603884212000498E+19</v>
      </c>
      <c r="AUY53" s="760">
        <f t="shared" si="55"/>
        <v>5.2122000738360517E+19</v>
      </c>
      <c r="AUZ53" s="760">
        <f t="shared" si="55"/>
        <v>5.3685660760511332E+19</v>
      </c>
      <c r="AVA53" s="760">
        <f t="shared" si="55"/>
        <v>5.5296230583326671E+19</v>
      </c>
      <c r="AVB53" s="760">
        <f t="shared" si="55"/>
        <v>5.6955117500826468E+19</v>
      </c>
      <c r="AVC53" s="760">
        <f t="shared" si="55"/>
        <v>5.8663771025851261E+19</v>
      </c>
      <c r="AVD53" s="760">
        <f t="shared" si="55"/>
        <v>6.0423684156626797E+19</v>
      </c>
      <c r="AVE53" s="760">
        <f t="shared" si="55"/>
        <v>6.2236394681325601E+19</v>
      </c>
      <c r="AVF53" s="760">
        <f t="shared" si="55"/>
        <v>6.4103486521765372E+19</v>
      </c>
      <c r="AVG53" s="760">
        <f t="shared" si="55"/>
        <v>6.6026591117418332E+19</v>
      </c>
      <c r="AVH53" s="760">
        <f t="shared" si="55"/>
        <v>6.8007388850940887E+19</v>
      </c>
      <c r="AVI53" s="760">
        <f t="shared" si="55"/>
        <v>7.0047610516469113E+19</v>
      </c>
      <c r="AVJ53" s="760">
        <f t="shared" si="55"/>
        <v>7.2149038831963185E+19</v>
      </c>
      <c r="AVK53" s="760">
        <f t="shared" si="55"/>
        <v>7.4313509996922077E+19</v>
      </c>
      <c r="AVL53" s="760">
        <f t="shared" si="55"/>
        <v>7.6542915296829735E+19</v>
      </c>
      <c r="AVM53" s="760">
        <f t="shared" si="55"/>
        <v>7.8839202755734634E+19</v>
      </c>
      <c r="AVN53" s="760">
        <f t="shared" si="55"/>
        <v>8.1204378838406676E+19</v>
      </c>
      <c r="AVO53" s="760">
        <f t="shared" si="55"/>
        <v>8.3640510203558871E+19</v>
      </c>
      <c r="AVP53" s="760">
        <f t="shared" si="55"/>
        <v>8.6149725509665636E+19</v>
      </c>
      <c r="AVQ53" s="760">
        <f t="shared" si="55"/>
        <v>8.8734217274955612E+19</v>
      </c>
      <c r="AVR53" s="760">
        <f t="shared" si="55"/>
        <v>9.1396243793204281E+19</v>
      </c>
      <c r="AVS53" s="760">
        <f t="shared" si="55"/>
        <v>9.4138131107000418E+19</v>
      </c>
      <c r="AVT53" s="760">
        <f t="shared" si="55"/>
        <v>9.6962275040210436E+19</v>
      </c>
      <c r="AVU53" s="760">
        <f t="shared" si="55"/>
        <v>9.9871143291416756E+19</v>
      </c>
      <c r="AVV53" s="760">
        <f t="shared" si="55"/>
        <v>1.0286727759015926E+20</v>
      </c>
      <c r="AVW53" s="760">
        <f t="shared" si="55"/>
        <v>1.0595329591786404E+20</v>
      </c>
      <c r="AVX53" s="760">
        <f t="shared" si="55"/>
        <v>1.0913189479539997E+20</v>
      </c>
      <c r="AVY53" s="760">
        <f t="shared" si="55"/>
        <v>1.1240585163926197E+20</v>
      </c>
      <c r="AVZ53" s="760">
        <f t="shared" si="55"/>
        <v>1.1577802718843983E+20</v>
      </c>
      <c r="AWA53" s="760">
        <f t="shared" si="55"/>
        <v>1.1925136800409302E+20</v>
      </c>
      <c r="AWB53" s="760">
        <f t="shared" si="55"/>
        <v>1.2282890904421581E+20</v>
      </c>
      <c r="AWC53" s="760">
        <f t="shared" si="55"/>
        <v>1.2651377631554229E+20</v>
      </c>
      <c r="AWD53" s="760">
        <f t="shared" si="55"/>
        <v>1.3030918960500856E+20</v>
      </c>
      <c r="AWE53" s="760">
        <f t="shared" si="55"/>
        <v>1.3421846529315881E+20</v>
      </c>
      <c r="AWF53" s="760">
        <f t="shared" si="55"/>
        <v>1.3824501925195358E+20</v>
      </c>
      <c r="AWG53" s="760">
        <f t="shared" si="55"/>
        <v>1.423923698295122E+20</v>
      </c>
      <c r="AWH53" s="760">
        <f t="shared" si="55"/>
        <v>1.4666414092439757E+20</v>
      </c>
      <c r="AWI53" s="760">
        <f t="shared" si="55"/>
        <v>1.510640651521295E+20</v>
      </c>
      <c r="AWJ53" s="760">
        <f t="shared" si="55"/>
        <v>1.5559598710669338E+20</v>
      </c>
      <c r="AWK53" s="760">
        <f t="shared" si="55"/>
        <v>1.6026386671989418E+20</v>
      </c>
      <c r="AWL53" s="760">
        <f t="shared" si="55"/>
        <v>1.6507178272149101E+20</v>
      </c>
      <c r="AWM53" s="760">
        <f t="shared" ref="AWM53:AYX53" si="56">+AWL53*$C$53</f>
        <v>1.7002393620313575E+20</v>
      </c>
      <c r="AWN53" s="760">
        <f t="shared" si="56"/>
        <v>1.7512465428922981E+20</v>
      </c>
      <c r="AWO53" s="760">
        <f t="shared" si="56"/>
        <v>1.8037839391790671E+20</v>
      </c>
      <c r="AWP53" s="760">
        <f t="shared" si="56"/>
        <v>1.8578974573544391E+20</v>
      </c>
      <c r="AWQ53" s="760">
        <f t="shared" si="56"/>
        <v>1.9136343810750723E+20</v>
      </c>
      <c r="AWR53" s="760">
        <f t="shared" si="56"/>
        <v>1.9710434125073246E+20</v>
      </c>
      <c r="AWS53" s="760">
        <f t="shared" si="56"/>
        <v>2.0301747148825444E+20</v>
      </c>
      <c r="AWT53" s="760">
        <f t="shared" si="56"/>
        <v>2.0910799563290208E+20</v>
      </c>
      <c r="AWU53" s="760">
        <f t="shared" si="56"/>
        <v>2.1538123550188916E+20</v>
      </c>
      <c r="AWV53" s="760">
        <f t="shared" si="56"/>
        <v>2.2184267256694584E+20</v>
      </c>
      <c r="AWW53" s="760">
        <f t="shared" si="56"/>
        <v>2.2849795274395422E+20</v>
      </c>
      <c r="AWX53" s="760">
        <f t="shared" si="56"/>
        <v>2.3535289132627286E+20</v>
      </c>
      <c r="AWY53" s="760">
        <f t="shared" si="56"/>
        <v>2.4241347806606105E+20</v>
      </c>
      <c r="AWZ53" s="760">
        <f t="shared" si="56"/>
        <v>2.4968588240804289E+20</v>
      </c>
      <c r="AXA53" s="760">
        <f t="shared" si="56"/>
        <v>2.571764588802842E+20</v>
      </c>
      <c r="AXB53" s="760">
        <f t="shared" si="56"/>
        <v>2.6489175264669273E+20</v>
      </c>
      <c r="AXC53" s="760">
        <f t="shared" si="56"/>
        <v>2.7283850522609353E+20</v>
      </c>
      <c r="AXD53" s="760">
        <f t="shared" si="56"/>
        <v>2.8102366038287634E+20</v>
      </c>
      <c r="AXE53" s="760">
        <f t="shared" si="56"/>
        <v>2.8945437019436263E+20</v>
      </c>
      <c r="AXF53" s="760">
        <f t="shared" si="56"/>
        <v>2.9813800130019354E+20</v>
      </c>
      <c r="AXG53" s="760">
        <f t="shared" si="56"/>
        <v>3.0708214133919934E+20</v>
      </c>
      <c r="AXH53" s="760">
        <f t="shared" si="56"/>
        <v>3.1629460557937535E+20</v>
      </c>
      <c r="AXI53" s="760">
        <f t="shared" si="56"/>
        <v>3.2578344374675662E+20</v>
      </c>
      <c r="AXJ53" s="760">
        <f t="shared" si="56"/>
        <v>3.3555694705915933E+20</v>
      </c>
      <c r="AXK53" s="760">
        <f t="shared" si="56"/>
        <v>3.4562365547093413E+20</v>
      </c>
      <c r="AXL53" s="760">
        <f t="shared" si="56"/>
        <v>3.5599236513506217E+20</v>
      </c>
      <c r="AXM53" s="760">
        <f t="shared" si="56"/>
        <v>3.6667213608911405E+20</v>
      </c>
      <c r="AXN53" s="760">
        <f t="shared" si="56"/>
        <v>3.776723001717875E+20</v>
      </c>
      <c r="AXO53" s="760">
        <f t="shared" si="56"/>
        <v>3.8900246917694115E+20</v>
      </c>
      <c r="AXP53" s="760">
        <f t="shared" si="56"/>
        <v>4.0067254325224938E+20</v>
      </c>
      <c r="AXQ53" s="760">
        <f t="shared" si="56"/>
        <v>4.126927195498169E+20</v>
      </c>
      <c r="AXR53" s="760">
        <f t="shared" si="56"/>
        <v>4.2507350113631142E+20</v>
      </c>
      <c r="AXS53" s="760">
        <f t="shared" si="56"/>
        <v>4.3782570617040077E+20</v>
      </c>
      <c r="AXT53" s="760">
        <f t="shared" si="56"/>
        <v>4.5096047735551282E+20</v>
      </c>
      <c r="AXU53" s="760">
        <f t="shared" si="56"/>
        <v>4.6448929167617825E+20</v>
      </c>
      <c r="AXV53" s="760">
        <f t="shared" si="56"/>
        <v>4.7842397042646358E+20</v>
      </c>
      <c r="AXW53" s="760">
        <f t="shared" si="56"/>
        <v>4.9277668953925753E+20</v>
      </c>
      <c r="AXX53" s="760">
        <f t="shared" si="56"/>
        <v>5.075599902254353E+20</v>
      </c>
      <c r="AXY53" s="760">
        <f t="shared" si="56"/>
        <v>5.227867899321984E+20</v>
      </c>
      <c r="AXZ53" s="760">
        <f t="shared" si="56"/>
        <v>5.3847039363016439E+20</v>
      </c>
      <c r="AYA53" s="760">
        <f t="shared" si="56"/>
        <v>5.5462450543906934E+20</v>
      </c>
      <c r="AYB53" s="760">
        <f t="shared" si="56"/>
        <v>5.7126324060224147E+20</v>
      </c>
      <c r="AYC53" s="760">
        <f t="shared" si="56"/>
        <v>5.8840113782030873E+20</v>
      </c>
      <c r="AYD53" s="760">
        <f t="shared" si="56"/>
        <v>6.0605317195491797E+20</v>
      </c>
      <c r="AYE53" s="760">
        <f t="shared" si="56"/>
        <v>6.242347671135655E+20</v>
      </c>
      <c r="AYF53" s="760">
        <f t="shared" si="56"/>
        <v>6.4296181012697252E+20</v>
      </c>
      <c r="AYG53" s="760">
        <f t="shared" si="56"/>
        <v>6.6225066443078173E+20</v>
      </c>
      <c r="AYH53" s="760">
        <f t="shared" si="56"/>
        <v>6.8211818436370524E+20</v>
      </c>
      <c r="AYI53" s="760">
        <f t="shared" si="56"/>
        <v>7.025817298946164E+20</v>
      </c>
      <c r="AYJ53" s="760">
        <f t="shared" si="56"/>
        <v>7.2365918179145495E+20</v>
      </c>
      <c r="AYK53" s="760">
        <f t="shared" si="56"/>
        <v>7.4536895724519857E+20</v>
      </c>
      <c r="AYL53" s="760">
        <f t="shared" si="56"/>
        <v>7.6773002596255452E+20</v>
      </c>
      <c r="AYM53" s="760">
        <f t="shared" si="56"/>
        <v>7.9076192674143116E+20</v>
      </c>
      <c r="AYN53" s="760">
        <f t="shared" si="56"/>
        <v>8.1448478454367414E+20</v>
      </c>
      <c r="AYO53" s="760">
        <f t="shared" si="56"/>
        <v>8.3891932807998433E+20</v>
      </c>
      <c r="AYP53" s="760">
        <f t="shared" si="56"/>
        <v>8.640869079223839E+20</v>
      </c>
      <c r="AYQ53" s="760">
        <f t="shared" si="56"/>
        <v>8.9000951516005545E+20</v>
      </c>
      <c r="AYR53" s="760">
        <f t="shared" si="56"/>
        <v>9.1670980061485715E+20</v>
      </c>
      <c r="AYS53" s="760">
        <f t="shared" si="56"/>
        <v>9.4421109463330285E+20</v>
      </c>
      <c r="AYT53" s="760">
        <f t="shared" si="56"/>
        <v>9.7253742747230195E+20</v>
      </c>
      <c r="AYU53" s="760">
        <f t="shared" si="56"/>
        <v>1.001713550296471E+21</v>
      </c>
      <c r="AYV53" s="760">
        <f t="shared" si="56"/>
        <v>1.0317649568053652E+21</v>
      </c>
      <c r="AYW53" s="760">
        <f t="shared" si="56"/>
        <v>1.0627179055095263E+21</v>
      </c>
      <c r="AYX53" s="760">
        <f t="shared" si="56"/>
        <v>1.0945994426748121E+21</v>
      </c>
      <c r="AYY53" s="760">
        <f t="shared" ref="AYY53:BBJ53" si="57">+AYX53*$C$53</f>
        <v>1.1274374259550564E+21</v>
      </c>
      <c r="AYZ53" s="760">
        <f t="shared" si="57"/>
        <v>1.1612605487337081E+21</v>
      </c>
      <c r="AZA53" s="760">
        <f t="shared" si="57"/>
        <v>1.1960983651957195E+21</v>
      </c>
      <c r="AZB53" s="760">
        <f t="shared" si="57"/>
        <v>1.231981316151591E+21</v>
      </c>
      <c r="AZC53" s="760">
        <f t="shared" si="57"/>
        <v>1.2689407556361388E+21</v>
      </c>
      <c r="AZD53" s="760">
        <f t="shared" si="57"/>
        <v>1.307008978305223E+21</v>
      </c>
      <c r="AZE53" s="760">
        <f t="shared" si="57"/>
        <v>1.3462192476543797E+21</v>
      </c>
      <c r="AZF53" s="760">
        <f t="shared" si="57"/>
        <v>1.3866058250840111E+21</v>
      </c>
      <c r="AZG53" s="760">
        <f t="shared" si="57"/>
        <v>1.4282039998365313E+21</v>
      </c>
      <c r="AZH53" s="760">
        <f t="shared" si="57"/>
        <v>1.4710501198316272E+21</v>
      </c>
      <c r="AZI53" s="760">
        <f t="shared" si="57"/>
        <v>1.515181623426576E+21</v>
      </c>
      <c r="AZJ53" s="760">
        <f t="shared" si="57"/>
        <v>1.5606370721293732E+21</v>
      </c>
      <c r="AZK53" s="760">
        <f t="shared" si="57"/>
        <v>1.6074561842932545E+21</v>
      </c>
      <c r="AZL53" s="760">
        <f t="shared" si="57"/>
        <v>1.6556798698220521E+21</v>
      </c>
      <c r="AZM53" s="760">
        <f t="shared" si="57"/>
        <v>1.7053502659167136E+21</v>
      </c>
      <c r="AZN53" s="760">
        <f t="shared" si="57"/>
        <v>1.7565107738942151E+21</v>
      </c>
      <c r="AZO53" s="760">
        <f t="shared" si="57"/>
        <v>1.8092060971110417E+21</v>
      </c>
      <c r="AZP53" s="760">
        <f t="shared" si="57"/>
        <v>1.8634822800243729E+21</v>
      </c>
      <c r="AZQ53" s="760">
        <f t="shared" si="57"/>
        <v>1.9193867484251043E+21</v>
      </c>
      <c r="AZR53" s="760">
        <f t="shared" si="57"/>
        <v>1.9769683508778573E+21</v>
      </c>
      <c r="AZS53" s="760">
        <f t="shared" si="57"/>
        <v>2.0362774014041931E+21</v>
      </c>
      <c r="AZT53" s="760">
        <f t="shared" si="57"/>
        <v>2.097365723446319E+21</v>
      </c>
      <c r="AZU53" s="760">
        <f t="shared" si="57"/>
        <v>2.1602866951497085E+21</v>
      </c>
      <c r="AZV53" s="760">
        <f t="shared" si="57"/>
        <v>2.2250952960041998E+21</v>
      </c>
      <c r="AZW53" s="760">
        <f t="shared" si="57"/>
        <v>2.2918481548843258E+21</v>
      </c>
      <c r="AZX53" s="760">
        <f t="shared" si="57"/>
        <v>2.3606035995308555E+21</v>
      </c>
      <c r="AZY53" s="760">
        <f t="shared" si="57"/>
        <v>2.4314217075167813E+21</v>
      </c>
      <c r="AZZ53" s="760">
        <f t="shared" si="57"/>
        <v>2.5043643587422847E+21</v>
      </c>
      <c r="BAA53" s="760">
        <f t="shared" si="57"/>
        <v>2.5794952895045535E+21</v>
      </c>
      <c r="BAB53" s="760">
        <f t="shared" si="57"/>
        <v>2.6568801481896902E+21</v>
      </c>
      <c r="BAC53" s="760">
        <f t="shared" si="57"/>
        <v>2.7365865526353807E+21</v>
      </c>
      <c r="BAD53" s="760">
        <f t="shared" si="57"/>
        <v>2.8186841492144422E+21</v>
      </c>
      <c r="BAE53" s="760">
        <f t="shared" si="57"/>
        <v>2.9032446736908755E+21</v>
      </c>
      <c r="BAF53" s="760">
        <f t="shared" si="57"/>
        <v>2.9903420139016018E+21</v>
      </c>
      <c r="BAG53" s="760">
        <f t="shared" si="57"/>
        <v>3.0800522743186499E+21</v>
      </c>
      <c r="BAH53" s="760">
        <f t="shared" si="57"/>
        <v>3.1724538425482092E+21</v>
      </c>
      <c r="BAI53" s="760">
        <f t="shared" si="57"/>
        <v>3.2676274578246557E+21</v>
      </c>
      <c r="BAJ53" s="760">
        <f t="shared" si="57"/>
        <v>3.3656562815593952E+21</v>
      </c>
      <c r="BAK53" s="760">
        <f t="shared" si="57"/>
        <v>3.4666259700061773E+21</v>
      </c>
      <c r="BAL53" s="760">
        <f t="shared" si="57"/>
        <v>3.5706247491063628E+21</v>
      </c>
      <c r="BAM53" s="760">
        <f t="shared" si="57"/>
        <v>3.6777434915795538E+21</v>
      </c>
      <c r="BAN53" s="760">
        <f t="shared" si="57"/>
        <v>3.7880757963269404E+21</v>
      </c>
      <c r="BAO53" s="760">
        <f t="shared" si="57"/>
        <v>3.901718070216749E+21</v>
      </c>
      <c r="BAP53" s="760">
        <f t="shared" si="57"/>
        <v>4.0187696123232513E+21</v>
      </c>
      <c r="BAQ53" s="760">
        <f t="shared" si="57"/>
        <v>4.1393327006929487E+21</v>
      </c>
      <c r="BAR53" s="760">
        <f t="shared" si="57"/>
        <v>4.2635126817137371E+21</v>
      </c>
      <c r="BAS53" s="760">
        <f t="shared" si="57"/>
        <v>4.3914180621651495E+21</v>
      </c>
      <c r="BAT53" s="760">
        <f t="shared" si="57"/>
        <v>4.5231606040301042E+21</v>
      </c>
      <c r="BAU53" s="760">
        <f t="shared" si="57"/>
        <v>4.6588554221510077E+21</v>
      </c>
      <c r="BAV53" s="760">
        <f t="shared" si="57"/>
        <v>4.798621084815538E+21</v>
      </c>
      <c r="BAW53" s="760">
        <f t="shared" si="57"/>
        <v>4.9425797173600038E+21</v>
      </c>
      <c r="BAX53" s="760">
        <f t="shared" si="57"/>
        <v>5.090857108880804E+21</v>
      </c>
      <c r="BAY53" s="760">
        <f t="shared" si="57"/>
        <v>5.2435828221472282E+21</v>
      </c>
      <c r="BAZ53" s="760">
        <f t="shared" si="57"/>
        <v>5.4008903068116457E+21</v>
      </c>
      <c r="BBA53" s="760">
        <f t="shared" si="57"/>
        <v>5.5629170160159949E+21</v>
      </c>
      <c r="BBB53" s="760">
        <f t="shared" si="57"/>
        <v>5.7298045264964753E+21</v>
      </c>
      <c r="BBC53" s="760">
        <f t="shared" si="57"/>
        <v>5.9016986622913696E+21</v>
      </c>
      <c r="BBD53" s="760">
        <f t="shared" si="57"/>
        <v>6.0787496221601106E+21</v>
      </c>
      <c r="BBE53" s="760">
        <f t="shared" si="57"/>
        <v>6.2611121108249142E+21</v>
      </c>
      <c r="BBF53" s="760">
        <f t="shared" si="57"/>
        <v>6.4489454741496613E+21</v>
      </c>
      <c r="BBG53" s="760">
        <f t="shared" si="57"/>
        <v>6.6424138383741514E+21</v>
      </c>
      <c r="BBH53" s="760">
        <f t="shared" si="57"/>
        <v>6.8416862535253764E+21</v>
      </c>
      <c r="BBI53" s="760">
        <f t="shared" si="57"/>
        <v>7.0469368411311382E+21</v>
      </c>
      <c r="BBJ53" s="760">
        <f t="shared" si="57"/>
        <v>7.2583449463650727E+21</v>
      </c>
      <c r="BBK53" s="760">
        <f t="shared" ref="BBK53:BDV53" si="58">+BBJ53*$C$53</f>
        <v>7.4760952947560247E+21</v>
      </c>
      <c r="BBL53" s="760">
        <f t="shared" si="58"/>
        <v>7.7003781535987055E+21</v>
      </c>
      <c r="BBM53" s="760">
        <f t="shared" si="58"/>
        <v>7.9313894982066666E+21</v>
      </c>
      <c r="BBN53" s="760">
        <f t="shared" si="58"/>
        <v>8.169331183152867E+21</v>
      </c>
      <c r="BBO53" s="760">
        <f t="shared" si="58"/>
        <v>8.4144111186474529E+21</v>
      </c>
      <c r="BBP53" s="760">
        <f t="shared" si="58"/>
        <v>8.6668434522068767E+21</v>
      </c>
      <c r="BBQ53" s="760">
        <f t="shared" si="58"/>
        <v>8.9268487557730837E+21</v>
      </c>
      <c r="BBR53" s="760">
        <f t="shared" si="58"/>
        <v>9.1946542184462769E+21</v>
      </c>
      <c r="BBS53" s="760">
        <f t="shared" si="58"/>
        <v>9.4704938449996654E+21</v>
      </c>
      <c r="BBT53" s="760">
        <f t="shared" si="58"/>
        <v>9.7546086603496557E+21</v>
      </c>
      <c r="BBU53" s="760">
        <f t="shared" si="58"/>
        <v>1.0047246920160146E+22</v>
      </c>
      <c r="BBV53" s="760">
        <f t="shared" si="58"/>
        <v>1.0348664327764951E+22</v>
      </c>
      <c r="BBW53" s="760">
        <f t="shared" si="58"/>
        <v>1.06591242575979E+22</v>
      </c>
      <c r="BBX53" s="760">
        <f t="shared" si="58"/>
        <v>1.0978897985325836E+22</v>
      </c>
      <c r="BBY53" s="760">
        <f t="shared" si="58"/>
        <v>1.1308264924885612E+22</v>
      </c>
      <c r="BBZ53" s="760">
        <f t="shared" si="58"/>
        <v>1.1647512872632181E+22</v>
      </c>
      <c r="BCA53" s="760">
        <f t="shared" si="58"/>
        <v>1.1996938258811147E+22</v>
      </c>
      <c r="BCB53" s="760">
        <f t="shared" si="58"/>
        <v>1.2356846406575482E+22</v>
      </c>
      <c r="BCC53" s="760">
        <f t="shared" si="58"/>
        <v>1.2727551798772748E+22</v>
      </c>
      <c r="BCD53" s="760">
        <f t="shared" si="58"/>
        <v>1.310937835273593E+22</v>
      </c>
      <c r="BCE53" s="760">
        <f t="shared" si="58"/>
        <v>1.3502659703318008E+22</v>
      </c>
      <c r="BCF53" s="760">
        <f t="shared" si="58"/>
        <v>1.3907739494417548E+22</v>
      </c>
      <c r="BCG53" s="760">
        <f t="shared" si="58"/>
        <v>1.4324971679250075E+22</v>
      </c>
      <c r="BCH53" s="760">
        <f t="shared" si="58"/>
        <v>1.4754720829627578E+22</v>
      </c>
      <c r="BCI53" s="760">
        <f t="shared" si="58"/>
        <v>1.5197362454516405E+22</v>
      </c>
      <c r="BCJ53" s="760">
        <f t="shared" si="58"/>
        <v>1.5653283328151897E+22</v>
      </c>
      <c r="BCK53" s="760">
        <f t="shared" si="58"/>
        <v>1.6122881827996453E+22</v>
      </c>
      <c r="BCL53" s="760">
        <f t="shared" si="58"/>
        <v>1.6606568282836347E+22</v>
      </c>
      <c r="BCM53" s="760">
        <f t="shared" si="58"/>
        <v>1.7104765331321437E+22</v>
      </c>
      <c r="BCN53" s="760">
        <f t="shared" si="58"/>
        <v>1.7617908291261082E+22</v>
      </c>
      <c r="BCO53" s="760">
        <f t="shared" si="58"/>
        <v>1.8146445539998914E+22</v>
      </c>
      <c r="BCP53" s="760">
        <f t="shared" si="58"/>
        <v>1.8690838906198882E+22</v>
      </c>
      <c r="BCQ53" s="760">
        <f t="shared" si="58"/>
        <v>1.9251564073384847E+22</v>
      </c>
      <c r="BCR53" s="760">
        <f t="shared" si="58"/>
        <v>1.9829110995586392E+22</v>
      </c>
      <c r="BCS53" s="760">
        <f t="shared" si="58"/>
        <v>2.0423984325453983E+22</v>
      </c>
      <c r="BCT53" s="760">
        <f t="shared" si="58"/>
        <v>2.1036703855217604E+22</v>
      </c>
      <c r="BCU53" s="760">
        <f t="shared" si="58"/>
        <v>2.166780497087413E+22</v>
      </c>
      <c r="BCV53" s="760">
        <f t="shared" si="58"/>
        <v>2.2317839120000356E+22</v>
      </c>
      <c r="BCW53" s="760">
        <f t="shared" si="58"/>
        <v>2.2987374293600369E+22</v>
      </c>
      <c r="BCX53" s="760">
        <f t="shared" si="58"/>
        <v>2.3676995522408382E+22</v>
      </c>
      <c r="BCY53" s="760">
        <f t="shared" si="58"/>
        <v>2.4387305388080634E+22</v>
      </c>
      <c r="BCZ53" s="760">
        <f t="shared" si="58"/>
        <v>2.5118924549723053E+22</v>
      </c>
      <c r="BDA53" s="760">
        <f t="shared" si="58"/>
        <v>2.5872492286214746E+22</v>
      </c>
      <c r="BDB53" s="760">
        <f t="shared" si="58"/>
        <v>2.664866705480119E+22</v>
      </c>
      <c r="BDC53" s="760">
        <f t="shared" si="58"/>
        <v>2.7448127066445227E+22</v>
      </c>
      <c r="BDD53" s="760">
        <f t="shared" si="58"/>
        <v>2.8271570878438583E+22</v>
      </c>
      <c r="BDE53" s="760">
        <f t="shared" si="58"/>
        <v>2.9119718004791739E+22</v>
      </c>
      <c r="BDF53" s="760">
        <f t="shared" si="58"/>
        <v>2.9993309544935491E+22</v>
      </c>
      <c r="BDG53" s="760">
        <f t="shared" si="58"/>
        <v>3.0893108831283558E+22</v>
      </c>
      <c r="BDH53" s="760">
        <f t="shared" si="58"/>
        <v>3.1819902096222066E+22</v>
      </c>
      <c r="BDI53" s="760">
        <f t="shared" si="58"/>
        <v>3.2774499159108728E+22</v>
      </c>
      <c r="BDJ53" s="760">
        <f t="shared" si="58"/>
        <v>3.3757734133881991E+22</v>
      </c>
      <c r="BDK53" s="760">
        <f t="shared" si="58"/>
        <v>3.4770466157898452E+22</v>
      </c>
      <c r="BDL53" s="760">
        <f t="shared" si="58"/>
        <v>3.5813580142635408E+22</v>
      </c>
      <c r="BDM53" s="760">
        <f t="shared" si="58"/>
        <v>3.688798754691447E+22</v>
      </c>
      <c r="BDN53" s="760">
        <f t="shared" si="58"/>
        <v>3.7994627173321902E+22</v>
      </c>
      <c r="BDO53" s="760">
        <f t="shared" si="58"/>
        <v>3.9134465988521556E+22</v>
      </c>
      <c r="BDP53" s="760">
        <f t="shared" si="58"/>
        <v>4.0308499968177203E+22</v>
      </c>
      <c r="BDQ53" s="760">
        <f t="shared" si="58"/>
        <v>4.1517754967222521E+22</v>
      </c>
      <c r="BDR53" s="760">
        <f t="shared" si="58"/>
        <v>4.2763287616239201E+22</v>
      </c>
      <c r="BDS53" s="760">
        <f t="shared" si="58"/>
        <v>4.4046186244726378E+22</v>
      </c>
      <c r="BDT53" s="760">
        <f t="shared" si="58"/>
        <v>4.5367571832068171E+22</v>
      </c>
      <c r="BDU53" s="760">
        <f t="shared" si="58"/>
        <v>4.6728598987030221E+22</v>
      </c>
      <c r="BDV53" s="760">
        <f t="shared" si="58"/>
        <v>4.8130456956641128E+22</v>
      </c>
      <c r="BDW53" s="760">
        <f t="shared" ref="BDW53:BGH53" si="59">+BDV53*$C$53</f>
        <v>4.9574370665340368E+22</v>
      </c>
      <c r="BDX53" s="760">
        <f t="shared" si="59"/>
        <v>5.1061601785300583E+22</v>
      </c>
      <c r="BDY53" s="760">
        <f t="shared" si="59"/>
        <v>5.2593449838859604E+22</v>
      </c>
      <c r="BDZ53" s="760">
        <f t="shared" si="59"/>
        <v>5.4171253334025391E+22</v>
      </c>
      <c r="BEA53" s="760">
        <f t="shared" si="59"/>
        <v>5.5796390934046155E+22</v>
      </c>
      <c r="BEB53" s="760">
        <f t="shared" si="59"/>
        <v>5.7470282662067541E+22</v>
      </c>
      <c r="BEC53" s="760">
        <f t="shared" si="59"/>
        <v>5.9194391141929571E+22</v>
      </c>
      <c r="BED53" s="760">
        <f t="shared" si="59"/>
        <v>6.0970222876187462E+22</v>
      </c>
      <c r="BEE53" s="760">
        <f t="shared" si="59"/>
        <v>6.2799329562473087E+22</v>
      </c>
      <c r="BEF53" s="760">
        <f t="shared" si="59"/>
        <v>6.4683309449347282E+22</v>
      </c>
      <c r="BEG53" s="760">
        <f t="shared" si="59"/>
        <v>6.6623808732827702E+22</v>
      </c>
      <c r="BEH53" s="760">
        <f t="shared" si="59"/>
        <v>6.8622522994812535E+22</v>
      </c>
      <c r="BEI53" s="760">
        <f t="shared" si="59"/>
        <v>7.0681198684656915E+22</v>
      </c>
      <c r="BEJ53" s="760">
        <f t="shared" si="59"/>
        <v>7.2801634645196623E+22</v>
      </c>
      <c r="BEK53" s="760">
        <f t="shared" si="59"/>
        <v>7.4985683684552522E+22</v>
      </c>
      <c r="BEL53" s="760">
        <f t="shared" si="59"/>
        <v>7.7235254195089094E+22</v>
      </c>
      <c r="BEM53" s="760">
        <f t="shared" si="59"/>
        <v>7.9552311820941775E+22</v>
      </c>
      <c r="BEN53" s="760">
        <f t="shared" si="59"/>
        <v>8.1938881175570023E+22</v>
      </c>
      <c r="BEO53" s="760">
        <f t="shared" si="59"/>
        <v>8.4397047610837127E+22</v>
      </c>
      <c r="BEP53" s="760">
        <f t="shared" si="59"/>
        <v>8.6928959039162236E+22</v>
      </c>
      <c r="BEQ53" s="760">
        <f t="shared" si="59"/>
        <v>8.9536827810337113E+22</v>
      </c>
      <c r="BER53" s="760">
        <f t="shared" si="59"/>
        <v>9.2222932644647229E+22</v>
      </c>
      <c r="BES53" s="760">
        <f t="shared" si="59"/>
        <v>9.4989620623986643E+22</v>
      </c>
      <c r="BET53" s="760">
        <f t="shared" si="59"/>
        <v>9.7839309242706237E+22</v>
      </c>
      <c r="BEU53" s="760">
        <f t="shared" si="59"/>
        <v>1.0077448851998743E+23</v>
      </c>
      <c r="BEV53" s="760">
        <f t="shared" si="59"/>
        <v>1.0379772317558705E+23</v>
      </c>
      <c r="BEW53" s="760">
        <f t="shared" si="59"/>
        <v>1.0691165487085466E+23</v>
      </c>
      <c r="BEX53" s="760">
        <f t="shared" si="59"/>
        <v>1.1011900451698031E+23</v>
      </c>
      <c r="BEY53" s="760">
        <f t="shared" si="59"/>
        <v>1.1342257465248973E+23</v>
      </c>
      <c r="BEZ53" s="760">
        <f t="shared" si="59"/>
        <v>1.1682525189206442E+23</v>
      </c>
      <c r="BFA53" s="760">
        <f t="shared" si="59"/>
        <v>1.2033000944882635E+23</v>
      </c>
      <c r="BFB53" s="760">
        <f t="shared" si="59"/>
        <v>1.2393990973229114E+23</v>
      </c>
      <c r="BFC53" s="760">
        <f t="shared" si="59"/>
        <v>1.2765810702425988E+23</v>
      </c>
      <c r="BFD53" s="760">
        <f t="shared" si="59"/>
        <v>1.3148785023498767E+23</v>
      </c>
      <c r="BFE53" s="760">
        <f t="shared" si="59"/>
        <v>1.354324857420373E+23</v>
      </c>
      <c r="BFF53" s="760">
        <f t="shared" si="59"/>
        <v>1.3949546031429843E+23</v>
      </c>
      <c r="BFG53" s="760">
        <f t="shared" si="59"/>
        <v>1.4368032412372738E+23</v>
      </c>
      <c r="BFH53" s="760">
        <f t="shared" si="59"/>
        <v>1.4799073384743921E+23</v>
      </c>
      <c r="BFI53" s="760">
        <f t="shared" si="59"/>
        <v>1.5243045586286239E+23</v>
      </c>
      <c r="BFJ53" s="760">
        <f t="shared" si="59"/>
        <v>1.5700336953874828E+23</v>
      </c>
      <c r="BFK53" s="760">
        <f t="shared" si="59"/>
        <v>1.6171347062491072E+23</v>
      </c>
      <c r="BFL53" s="760">
        <f t="shared" si="59"/>
        <v>1.6656487474365806E+23</v>
      </c>
      <c r="BFM53" s="760">
        <f t="shared" si="59"/>
        <v>1.7156182098596781E+23</v>
      </c>
      <c r="BFN53" s="760">
        <f t="shared" si="59"/>
        <v>1.7670867561554686E+23</v>
      </c>
      <c r="BFO53" s="760">
        <f t="shared" si="59"/>
        <v>1.8200993588401327E+23</v>
      </c>
      <c r="BFP53" s="760">
        <f t="shared" si="59"/>
        <v>1.8747023396053368E+23</v>
      </c>
      <c r="BFQ53" s="760">
        <f t="shared" si="59"/>
        <v>1.930943409793497E+23</v>
      </c>
      <c r="BFR53" s="760">
        <f t="shared" si="59"/>
        <v>1.9888717120873021E+23</v>
      </c>
      <c r="BFS53" s="760">
        <f t="shared" si="59"/>
        <v>2.0485378634499212E+23</v>
      </c>
      <c r="BFT53" s="760">
        <f t="shared" si="59"/>
        <v>2.1099939993534187E+23</v>
      </c>
      <c r="BFU53" s="760">
        <f t="shared" si="59"/>
        <v>2.1732938193340215E+23</v>
      </c>
      <c r="BFV53" s="760">
        <f t="shared" si="59"/>
        <v>2.2384926339140423E+23</v>
      </c>
      <c r="BFW53" s="760">
        <f t="shared" si="59"/>
        <v>2.3056474129314637E+23</v>
      </c>
      <c r="BFX53" s="760">
        <f t="shared" si="59"/>
        <v>2.3748168353194078E+23</v>
      </c>
      <c r="BFY53" s="760">
        <f t="shared" si="59"/>
        <v>2.4460613403789901E+23</v>
      </c>
      <c r="BFZ53" s="760">
        <f t="shared" si="59"/>
        <v>2.51944318059036E+23</v>
      </c>
      <c r="BGA53" s="760">
        <f t="shared" si="59"/>
        <v>2.5950264760080708E+23</v>
      </c>
      <c r="BGB53" s="760">
        <f t="shared" si="59"/>
        <v>2.6728772702883128E+23</v>
      </c>
      <c r="BGC53" s="760">
        <f t="shared" si="59"/>
        <v>2.7530635883969622E+23</v>
      </c>
      <c r="BGD53" s="760">
        <f t="shared" si="59"/>
        <v>2.8356554960488712E+23</v>
      </c>
      <c r="BGE53" s="760">
        <f t="shared" si="59"/>
        <v>2.9207251609303374E+23</v>
      </c>
      <c r="BGF53" s="760">
        <f t="shared" si="59"/>
        <v>3.0083469157582477E+23</v>
      </c>
      <c r="BGG53" s="760">
        <f t="shared" si="59"/>
        <v>3.0985973232309953E+23</v>
      </c>
      <c r="BGH53" s="760">
        <f t="shared" si="59"/>
        <v>3.1915552429279253E+23</v>
      </c>
      <c r="BGI53" s="760">
        <f t="shared" ref="BGI53:BIT53" si="60">+BGH53*$C$53</f>
        <v>3.2873019002157631E+23</v>
      </c>
      <c r="BGJ53" s="760">
        <f t="shared" si="60"/>
        <v>3.3859209572222365E+23</v>
      </c>
      <c r="BGK53" s="760">
        <f t="shared" si="60"/>
        <v>3.4874985859389039E+23</v>
      </c>
      <c r="BGL53" s="760">
        <f t="shared" si="60"/>
        <v>3.5921235435170709E+23</v>
      </c>
      <c r="BGM53" s="760">
        <f t="shared" si="60"/>
        <v>3.6998872498225828E+23</v>
      </c>
      <c r="BGN53" s="760">
        <f t="shared" si="60"/>
        <v>3.8108838673172603E+23</v>
      </c>
      <c r="BGO53" s="760">
        <f t="shared" si="60"/>
        <v>3.925210383336778E+23</v>
      </c>
      <c r="BGP53" s="760">
        <f t="shared" si="60"/>
        <v>4.0429666948368816E+23</v>
      </c>
      <c r="BGQ53" s="760">
        <f t="shared" si="60"/>
        <v>4.1642556956819884E+23</v>
      </c>
      <c r="BGR53" s="760">
        <f t="shared" si="60"/>
        <v>4.2891833665524483E+23</v>
      </c>
      <c r="BGS53" s="760">
        <f t="shared" si="60"/>
        <v>4.417858867549022E+23</v>
      </c>
      <c r="BGT53" s="760">
        <f t="shared" si="60"/>
        <v>4.5503946335754929E+23</v>
      </c>
      <c r="BGU53" s="760">
        <f t="shared" si="60"/>
        <v>4.6869064725827575E+23</v>
      </c>
      <c r="BGV53" s="760">
        <f t="shared" si="60"/>
        <v>4.8275136667602404E+23</v>
      </c>
      <c r="BGW53" s="760">
        <f t="shared" si="60"/>
        <v>4.9723390767630478E+23</v>
      </c>
      <c r="BGX53" s="760">
        <f t="shared" si="60"/>
        <v>5.1215092490659396E+23</v>
      </c>
      <c r="BGY53" s="760">
        <f t="shared" si="60"/>
        <v>5.275154526537918E+23</v>
      </c>
      <c r="BGZ53" s="760">
        <f t="shared" si="60"/>
        <v>5.4334091623340556E+23</v>
      </c>
      <c r="BHA53" s="760">
        <f t="shared" si="60"/>
        <v>5.5964114372040776E+23</v>
      </c>
      <c r="BHB53" s="760">
        <f t="shared" si="60"/>
        <v>5.7643037803202E+23</v>
      </c>
      <c r="BHC53" s="760">
        <f t="shared" si="60"/>
        <v>5.9372328937298059E+23</v>
      </c>
      <c r="BHD53" s="760">
        <f t="shared" si="60"/>
        <v>6.1153498805417E+23</v>
      </c>
      <c r="BHE53" s="760">
        <f t="shared" si="60"/>
        <v>6.2988103769579505E+23</v>
      </c>
      <c r="BHF53" s="760">
        <f t="shared" si="60"/>
        <v>6.4877746882666889E+23</v>
      </c>
      <c r="BHG53" s="760">
        <f t="shared" si="60"/>
        <v>6.6824079289146896E+23</v>
      </c>
      <c r="BHH53" s="760">
        <f t="shared" si="60"/>
        <v>6.88288016678213E+23</v>
      </c>
      <c r="BHI53" s="760">
        <f t="shared" si="60"/>
        <v>7.0893665717855935E+23</v>
      </c>
      <c r="BHJ53" s="760">
        <f t="shared" si="60"/>
        <v>7.3020475689391621E+23</v>
      </c>
      <c r="BHK53" s="760">
        <f t="shared" si="60"/>
        <v>7.5211089960073372E+23</v>
      </c>
      <c r="BHL53" s="760">
        <f t="shared" si="60"/>
        <v>7.7467422658875579E+23</v>
      </c>
      <c r="BHM53" s="760">
        <f t="shared" si="60"/>
        <v>7.979144533864185E+23</v>
      </c>
      <c r="BHN53" s="760">
        <f t="shared" si="60"/>
        <v>8.2185188698801106E+23</v>
      </c>
      <c r="BHO53" s="760">
        <f t="shared" si="60"/>
        <v>8.4650744359765135E+23</v>
      </c>
      <c r="BHP53" s="760">
        <f t="shared" si="60"/>
        <v>8.7190266690558095E+23</v>
      </c>
      <c r="BHQ53" s="760">
        <f t="shared" si="60"/>
        <v>8.980597469127484E+23</v>
      </c>
      <c r="BHR53" s="760">
        <f t="shared" si="60"/>
        <v>9.2500153932013093E+23</v>
      </c>
      <c r="BHS53" s="760">
        <f t="shared" si="60"/>
        <v>9.5275158549973483E+23</v>
      </c>
      <c r="BHT53" s="760">
        <f t="shared" si="60"/>
        <v>9.8133413306472686E+23</v>
      </c>
      <c r="BHU53" s="760">
        <f t="shared" si="60"/>
        <v>1.0107741570566687E+24</v>
      </c>
      <c r="BHV53" s="760">
        <f t="shared" si="60"/>
        <v>1.0410973817683688E+24</v>
      </c>
      <c r="BHW53" s="760">
        <f t="shared" si="60"/>
        <v>1.0723303032214199E+24</v>
      </c>
      <c r="BHX53" s="760">
        <f t="shared" si="60"/>
        <v>1.1045002123180625E+24</v>
      </c>
      <c r="BHY53" s="760">
        <f t="shared" si="60"/>
        <v>1.1376352186876044E+24</v>
      </c>
      <c r="BHZ53" s="760">
        <f t="shared" si="60"/>
        <v>1.1717642752482325E+24</v>
      </c>
      <c r="BIA53" s="760">
        <f t="shared" si="60"/>
        <v>1.2069172035056795E+24</v>
      </c>
      <c r="BIB53" s="760">
        <f t="shared" si="60"/>
        <v>1.2431247196108498E+24</v>
      </c>
      <c r="BIC53" s="760">
        <f t="shared" si="60"/>
        <v>1.2804184611991754E+24</v>
      </c>
      <c r="BID53" s="760">
        <f t="shared" si="60"/>
        <v>1.3188310150351508E+24</v>
      </c>
      <c r="BIE53" s="760">
        <f t="shared" si="60"/>
        <v>1.3583959454862054E+24</v>
      </c>
      <c r="BIF53" s="760">
        <f t="shared" si="60"/>
        <v>1.3991478238507916E+24</v>
      </c>
      <c r="BIG53" s="760">
        <f t="shared" si="60"/>
        <v>1.4411222585663155E+24</v>
      </c>
      <c r="BIH53" s="760">
        <f t="shared" si="60"/>
        <v>1.4843559263233051E+24</v>
      </c>
      <c r="BII53" s="760">
        <f t="shared" si="60"/>
        <v>1.5288866041130043E+24</v>
      </c>
      <c r="BIJ53" s="760">
        <f t="shared" si="60"/>
        <v>1.5747532022363945E+24</v>
      </c>
      <c r="BIK53" s="760">
        <f t="shared" si="60"/>
        <v>1.6219957983034863E+24</v>
      </c>
      <c r="BIL53" s="760">
        <f t="shared" si="60"/>
        <v>1.6706556722525909E+24</v>
      </c>
      <c r="BIM53" s="760">
        <f t="shared" si="60"/>
        <v>1.7207753424201685E+24</v>
      </c>
      <c r="BIN53" s="760">
        <f t="shared" si="60"/>
        <v>1.7723986026927736E+24</v>
      </c>
      <c r="BIO53" s="760">
        <f t="shared" si="60"/>
        <v>1.8255705607735567E+24</v>
      </c>
      <c r="BIP53" s="760">
        <f t="shared" si="60"/>
        <v>1.8803376775967634E+24</v>
      </c>
      <c r="BIQ53" s="760">
        <f t="shared" si="60"/>
        <v>1.9367478079246663E+24</v>
      </c>
      <c r="BIR53" s="760">
        <f t="shared" si="60"/>
        <v>1.9948502421624063E+24</v>
      </c>
      <c r="BIS53" s="760">
        <f t="shared" si="60"/>
        <v>2.0546957494272786E+24</v>
      </c>
      <c r="BIT53" s="760">
        <f t="shared" si="60"/>
        <v>2.1163366219100969E+24</v>
      </c>
      <c r="BIU53" s="760">
        <f t="shared" ref="BIU53:BLF53" si="61">+BIT53*$C$53</f>
        <v>2.1798267205674E+24</v>
      </c>
      <c r="BIV53" s="760">
        <f t="shared" si="61"/>
        <v>2.2452215221844222E+24</v>
      </c>
      <c r="BIW53" s="760">
        <f t="shared" si="61"/>
        <v>2.3125781678499549E+24</v>
      </c>
      <c r="BIX53" s="760">
        <f t="shared" si="61"/>
        <v>2.3819555128854536E+24</v>
      </c>
      <c r="BIY53" s="760">
        <f t="shared" si="61"/>
        <v>2.453414178272017E+24</v>
      </c>
      <c r="BIZ53" s="760">
        <f t="shared" si="61"/>
        <v>2.5270166036201777E+24</v>
      </c>
      <c r="BJA53" s="760">
        <f t="shared" si="61"/>
        <v>2.6028271017287828E+24</v>
      </c>
      <c r="BJB53" s="760">
        <f t="shared" si="61"/>
        <v>2.6809119147806465E+24</v>
      </c>
      <c r="BJC53" s="760">
        <f t="shared" si="61"/>
        <v>2.7613392722240662E+24</v>
      </c>
      <c r="BJD53" s="760">
        <f t="shared" si="61"/>
        <v>2.8441794503907882E+24</v>
      </c>
      <c r="BJE53" s="760">
        <f t="shared" si="61"/>
        <v>2.9295048339025118E+24</v>
      </c>
      <c r="BJF53" s="760">
        <f t="shared" si="61"/>
        <v>3.0173899789195873E+24</v>
      </c>
      <c r="BJG53" s="760">
        <f t="shared" si="61"/>
        <v>3.1079116782871749E+24</v>
      </c>
      <c r="BJH53" s="760">
        <f t="shared" si="61"/>
        <v>3.2011490286357904E+24</v>
      </c>
      <c r="BJI53" s="760">
        <f t="shared" si="61"/>
        <v>3.2971834994948645E+24</v>
      </c>
      <c r="BJJ53" s="760">
        <f t="shared" si="61"/>
        <v>3.3960990044797105E+24</v>
      </c>
      <c r="BJK53" s="760">
        <f t="shared" si="61"/>
        <v>3.4979819746141021E+24</v>
      </c>
      <c r="BJL53" s="760">
        <f t="shared" si="61"/>
        <v>3.6029214338525255E+24</v>
      </c>
      <c r="BJM53" s="760">
        <f t="shared" si="61"/>
        <v>3.7110090768681015E+24</v>
      </c>
      <c r="BJN53" s="760">
        <f t="shared" si="61"/>
        <v>3.8223393491741447E+24</v>
      </c>
      <c r="BJO53" s="760">
        <f t="shared" si="61"/>
        <v>3.9370095296493691E+24</v>
      </c>
      <c r="BJP53" s="760">
        <f t="shared" si="61"/>
        <v>4.0551198155388504E+24</v>
      </c>
      <c r="BJQ53" s="760">
        <f t="shared" si="61"/>
        <v>4.1767734100050158E+24</v>
      </c>
      <c r="BJR53" s="760">
        <f t="shared" si="61"/>
        <v>4.3020766123051665E+24</v>
      </c>
      <c r="BJS53" s="760">
        <f t="shared" si="61"/>
        <v>4.4311389106743215E+24</v>
      </c>
      <c r="BJT53" s="760">
        <f t="shared" si="61"/>
        <v>4.5640730779945511E+24</v>
      </c>
      <c r="BJU53" s="760">
        <f t="shared" si="61"/>
        <v>4.7009952703343878E+24</v>
      </c>
      <c r="BJV53" s="760">
        <f t="shared" si="61"/>
        <v>4.8420251284444197E+24</v>
      </c>
      <c r="BJW53" s="760">
        <f t="shared" si="61"/>
        <v>4.9872858822977523E+24</v>
      </c>
      <c r="BJX53" s="760">
        <f t="shared" si="61"/>
        <v>5.1369044587666847E+24</v>
      </c>
      <c r="BJY53" s="760">
        <f t="shared" si="61"/>
        <v>5.2910115925296857E+24</v>
      </c>
      <c r="BJZ53" s="760">
        <f t="shared" si="61"/>
        <v>5.4497419403055766E+24</v>
      </c>
      <c r="BKA53" s="760">
        <f t="shared" si="61"/>
        <v>5.6132341985147436E+24</v>
      </c>
      <c r="BKB53" s="760">
        <f t="shared" si="61"/>
        <v>5.7816312244701858E+24</v>
      </c>
      <c r="BKC53" s="760">
        <f t="shared" si="61"/>
        <v>5.9550801612042919E+24</v>
      </c>
      <c r="BKD53" s="760">
        <f t="shared" si="61"/>
        <v>6.1337325660404205E+24</v>
      </c>
      <c r="BKE53" s="760">
        <f t="shared" si="61"/>
        <v>6.317744543021633E+24</v>
      </c>
      <c r="BKF53" s="760">
        <f t="shared" si="61"/>
        <v>6.5072768793122821E+24</v>
      </c>
      <c r="BKG53" s="760">
        <f t="shared" si="61"/>
        <v>6.7024951856916508E+24</v>
      </c>
      <c r="BKH53" s="760">
        <f t="shared" si="61"/>
        <v>6.9035700412624004E+24</v>
      </c>
      <c r="BKI53" s="760">
        <f t="shared" si="61"/>
        <v>7.1106771425002729E+24</v>
      </c>
      <c r="BKJ53" s="760">
        <f t="shared" si="61"/>
        <v>7.3239974567752815E+24</v>
      </c>
      <c r="BKK53" s="760">
        <f t="shared" si="61"/>
        <v>7.5437173804785398E+24</v>
      </c>
      <c r="BKL53" s="760">
        <f t="shared" si="61"/>
        <v>7.7700289018928958E+24</v>
      </c>
      <c r="BKM53" s="760">
        <f t="shared" si="61"/>
        <v>8.0031297689496825E+24</v>
      </c>
      <c r="BKN53" s="760">
        <f t="shared" si="61"/>
        <v>8.243223662018173E+24</v>
      </c>
      <c r="BKO53" s="760">
        <f t="shared" si="61"/>
        <v>8.4905203718787183E+24</v>
      </c>
      <c r="BKP53" s="760">
        <f t="shared" si="61"/>
        <v>8.7452359830350801E+24</v>
      </c>
      <c r="BKQ53" s="760">
        <f t="shared" si="61"/>
        <v>9.0075930625261329E+24</v>
      </c>
      <c r="BKR53" s="760">
        <f t="shared" si="61"/>
        <v>9.277820854401917E+24</v>
      </c>
      <c r="BKS53" s="760">
        <f t="shared" si="61"/>
        <v>9.5561554800339744E+24</v>
      </c>
      <c r="BKT53" s="760">
        <f t="shared" si="61"/>
        <v>9.8428401444349929E+24</v>
      </c>
      <c r="BKU53" s="760">
        <f t="shared" si="61"/>
        <v>1.0138125348768043E+25</v>
      </c>
      <c r="BKV53" s="760">
        <f t="shared" si="61"/>
        <v>1.0442269109231086E+25</v>
      </c>
      <c r="BKW53" s="760">
        <f t="shared" si="61"/>
        <v>1.0755537182508019E+25</v>
      </c>
      <c r="BKX53" s="760">
        <f t="shared" si="61"/>
        <v>1.1078203297983259E+25</v>
      </c>
      <c r="BKY53" s="760">
        <f t="shared" si="61"/>
        <v>1.1410549396922757E+25</v>
      </c>
      <c r="BKZ53" s="760">
        <f t="shared" si="61"/>
        <v>1.175286587883044E+25</v>
      </c>
      <c r="BLA53" s="760">
        <f t="shared" si="61"/>
        <v>1.2105451855195354E+25</v>
      </c>
      <c r="BLB53" s="760">
        <f t="shared" si="61"/>
        <v>1.2468615410851215E+25</v>
      </c>
      <c r="BLC53" s="760">
        <f t="shared" si="61"/>
        <v>1.2842673873176752E+25</v>
      </c>
      <c r="BLD53" s="760">
        <f t="shared" si="61"/>
        <v>1.3227954089372055E+25</v>
      </c>
      <c r="BLE53" s="760">
        <f t="shared" si="61"/>
        <v>1.3624792712053217E+25</v>
      </c>
      <c r="BLF53" s="760">
        <f t="shared" si="61"/>
        <v>1.4033536493414813E+25</v>
      </c>
      <c r="BLG53" s="760">
        <f t="shared" ref="BLG53:BNR53" si="62">+BLF53*$C$53</f>
        <v>1.4454542588217259E+25</v>
      </c>
      <c r="BLH53" s="760">
        <f t="shared" si="62"/>
        <v>1.4888178865863777E+25</v>
      </c>
      <c r="BLI53" s="760">
        <f t="shared" si="62"/>
        <v>1.533482423183969E+25</v>
      </c>
      <c r="BLJ53" s="760">
        <f t="shared" si="62"/>
        <v>1.5794868958794882E+25</v>
      </c>
      <c r="BLK53" s="760">
        <f t="shared" si="62"/>
        <v>1.6268715027558728E+25</v>
      </c>
      <c r="BLL53" s="760">
        <f t="shared" si="62"/>
        <v>1.675677647838549E+25</v>
      </c>
      <c r="BLM53" s="760">
        <f t="shared" si="62"/>
        <v>1.7259479772737055E+25</v>
      </c>
      <c r="BLN53" s="760">
        <f t="shared" si="62"/>
        <v>1.7777264165919167E+25</v>
      </c>
      <c r="BLO53" s="760">
        <f t="shared" si="62"/>
        <v>1.8310582090896742E+25</v>
      </c>
      <c r="BLP53" s="760">
        <f t="shared" si="62"/>
        <v>1.8859899553623646E+25</v>
      </c>
      <c r="BLQ53" s="760">
        <f t="shared" si="62"/>
        <v>1.9425696540232357E+25</v>
      </c>
      <c r="BLR53" s="760">
        <f t="shared" si="62"/>
        <v>2.000846743643933E+25</v>
      </c>
      <c r="BLS53" s="760">
        <f t="shared" si="62"/>
        <v>2.0608721459532511E+25</v>
      </c>
      <c r="BLT53" s="760">
        <f t="shared" si="62"/>
        <v>2.1226983103318486E+25</v>
      </c>
      <c r="BLU53" s="760">
        <f t="shared" si="62"/>
        <v>2.1863792596418041E+25</v>
      </c>
      <c r="BLV53" s="760">
        <f t="shared" si="62"/>
        <v>2.2519706374310584E+25</v>
      </c>
      <c r="BLW53" s="760">
        <f t="shared" si="62"/>
        <v>2.3195297565539904E+25</v>
      </c>
      <c r="BLX53" s="760">
        <f t="shared" si="62"/>
        <v>2.3891156492506102E+25</v>
      </c>
      <c r="BLY53" s="760">
        <f t="shared" si="62"/>
        <v>2.4607891187281286E+25</v>
      </c>
      <c r="BLZ53" s="760">
        <f t="shared" si="62"/>
        <v>2.5346127922899726E+25</v>
      </c>
      <c r="BMA53" s="760">
        <f t="shared" si="62"/>
        <v>2.6106511760586719E+25</v>
      </c>
      <c r="BMB53" s="760">
        <f t="shared" si="62"/>
        <v>2.6889707113404322E+25</v>
      </c>
      <c r="BMC53" s="760">
        <f t="shared" si="62"/>
        <v>2.7696398326806452E+25</v>
      </c>
      <c r="BMD53" s="760">
        <f t="shared" si="62"/>
        <v>2.8527290276610645E+25</v>
      </c>
      <c r="BME53" s="760">
        <f t="shared" si="62"/>
        <v>2.9383108984908964E+25</v>
      </c>
      <c r="BMF53" s="760">
        <f t="shared" si="62"/>
        <v>3.0264602254456235E+25</v>
      </c>
      <c r="BMG53" s="760">
        <f t="shared" si="62"/>
        <v>3.1172540322089922E+25</v>
      </c>
      <c r="BMH53" s="760">
        <f t="shared" si="62"/>
        <v>3.2107716531752619E+25</v>
      </c>
      <c r="BMI53" s="760">
        <f t="shared" si="62"/>
        <v>3.30709480277052E+25</v>
      </c>
      <c r="BMJ53" s="760">
        <f t="shared" si="62"/>
        <v>3.4063076468536355E+25</v>
      </c>
      <c r="BMK53" s="760">
        <f t="shared" si="62"/>
        <v>3.5084968762592446E+25</v>
      </c>
      <c r="BML53" s="760">
        <f t="shared" si="62"/>
        <v>3.6137517825470218E+25</v>
      </c>
      <c r="BMM53" s="760">
        <f t="shared" si="62"/>
        <v>3.7221643360234326E+25</v>
      </c>
      <c r="BMN53" s="760">
        <f t="shared" si="62"/>
        <v>3.8338292661041355E+25</v>
      </c>
      <c r="BMO53" s="760">
        <f t="shared" si="62"/>
        <v>3.9488441440872598E+25</v>
      </c>
      <c r="BMP53" s="760">
        <f t="shared" si="62"/>
        <v>4.0673094684098779E+25</v>
      </c>
      <c r="BMQ53" s="760">
        <f t="shared" si="62"/>
        <v>4.1893287524621747E+25</v>
      </c>
      <c r="BMR53" s="760">
        <f t="shared" si="62"/>
        <v>4.3150086150360402E+25</v>
      </c>
      <c r="BMS53" s="760">
        <f t="shared" si="62"/>
        <v>4.4444588734871214E+25</v>
      </c>
      <c r="BMT53" s="760">
        <f t="shared" si="62"/>
        <v>4.5777926396917352E+25</v>
      </c>
      <c r="BMU53" s="760">
        <f t="shared" si="62"/>
        <v>4.7151264188824872E+25</v>
      </c>
      <c r="BMV53" s="760">
        <f t="shared" si="62"/>
        <v>4.8565802114489616E+25</v>
      </c>
      <c r="BMW53" s="760">
        <f t="shared" si="62"/>
        <v>5.0022776177924303E+25</v>
      </c>
      <c r="BMX53" s="760">
        <f t="shared" si="62"/>
        <v>5.1523459463262036E+25</v>
      </c>
      <c r="BMY53" s="760">
        <f t="shared" si="62"/>
        <v>5.3069163247159902E+25</v>
      </c>
      <c r="BMZ53" s="760">
        <f t="shared" si="62"/>
        <v>5.4661238144574701E+25</v>
      </c>
      <c r="BNA53" s="760">
        <f t="shared" si="62"/>
        <v>5.6301075288911944E+25</v>
      </c>
      <c r="BNB53" s="760">
        <f t="shared" si="62"/>
        <v>5.7990107547579302E+25</v>
      </c>
      <c r="BNC53" s="760">
        <f t="shared" si="62"/>
        <v>5.9729810774006679E+25</v>
      </c>
      <c r="BND53" s="760">
        <f t="shared" si="62"/>
        <v>6.1521705097226878E+25</v>
      </c>
      <c r="BNE53" s="760">
        <f t="shared" si="62"/>
        <v>6.3367356250143682E+25</v>
      </c>
      <c r="BNF53" s="760">
        <f t="shared" si="62"/>
        <v>6.5268376937647991E+25</v>
      </c>
      <c r="BNG53" s="760">
        <f t="shared" si="62"/>
        <v>6.7226428245777435E+25</v>
      </c>
      <c r="BNH53" s="760">
        <f t="shared" si="62"/>
        <v>6.9243221093150762E+25</v>
      </c>
      <c r="BNI53" s="760">
        <f t="shared" si="62"/>
        <v>7.132051772594529E+25</v>
      </c>
      <c r="BNJ53" s="760">
        <f t="shared" si="62"/>
        <v>7.3460133257723649E+25</v>
      </c>
      <c r="BNK53" s="760">
        <f t="shared" si="62"/>
        <v>7.5663937255455363E+25</v>
      </c>
      <c r="BNL53" s="760">
        <f t="shared" si="62"/>
        <v>7.7933855373119022E+25</v>
      </c>
      <c r="BNM53" s="760">
        <f t="shared" si="62"/>
        <v>8.0271871034312599E+25</v>
      </c>
      <c r="BNN53" s="760">
        <f t="shared" si="62"/>
        <v>8.2680027165341983E+25</v>
      </c>
      <c r="BNO53" s="760">
        <f t="shared" si="62"/>
        <v>8.5160427980302243E+25</v>
      </c>
      <c r="BNP53" s="760">
        <f t="shared" si="62"/>
        <v>8.7715240819711313E+25</v>
      </c>
      <c r="BNQ53" s="760">
        <f t="shared" si="62"/>
        <v>9.0346698044302657E+25</v>
      </c>
      <c r="BNR53" s="760">
        <f t="shared" si="62"/>
        <v>9.3057098985631738E+25</v>
      </c>
      <c r="BNS53" s="760">
        <f t="shared" ref="BNS53:BQD53" si="63">+BNR53*$C$53</f>
        <v>9.5848811955200695E+25</v>
      </c>
      <c r="BNT53" s="760">
        <f t="shared" si="63"/>
        <v>9.8724276313856721E+25</v>
      </c>
      <c r="BNU53" s="760">
        <f t="shared" si="63"/>
        <v>1.0168600460327242E+26</v>
      </c>
      <c r="BNV53" s="760">
        <f t="shared" si="63"/>
        <v>1.0473658474137059E+26</v>
      </c>
      <c r="BNW53" s="760">
        <f t="shared" si="63"/>
        <v>1.0787868228361171E+26</v>
      </c>
      <c r="BNX53" s="760">
        <f t="shared" si="63"/>
        <v>1.1111504275212006E+26</v>
      </c>
      <c r="BNY53" s="760">
        <f t="shared" si="63"/>
        <v>1.1444849403468366E+26</v>
      </c>
      <c r="BNZ53" s="760">
        <f t="shared" si="63"/>
        <v>1.1788194885572417E+26</v>
      </c>
      <c r="BOA53" s="760">
        <f t="shared" si="63"/>
        <v>1.214184073213959E+26</v>
      </c>
      <c r="BOB53" s="760">
        <f t="shared" si="63"/>
        <v>1.2506095954103779E+26</v>
      </c>
      <c r="BOC53" s="760">
        <f t="shared" si="63"/>
        <v>1.2881278832726892E+26</v>
      </c>
      <c r="BOD53" s="760">
        <f t="shared" si="63"/>
        <v>1.32677171977087E+26</v>
      </c>
      <c r="BOE53" s="760">
        <f t="shared" si="63"/>
        <v>1.3665748713639962E+26</v>
      </c>
      <c r="BOF53" s="760">
        <f t="shared" si="63"/>
        <v>1.4075721175049161E+26</v>
      </c>
      <c r="BOG53" s="760">
        <f t="shared" si="63"/>
        <v>1.4497992810300637E+26</v>
      </c>
      <c r="BOH53" s="760">
        <f t="shared" si="63"/>
        <v>1.4932932594609658E+26</v>
      </c>
      <c r="BOI53" s="760">
        <f t="shared" si="63"/>
        <v>1.5380920572447947E+26</v>
      </c>
      <c r="BOJ53" s="760">
        <f t="shared" si="63"/>
        <v>1.5842348189621384E+26</v>
      </c>
      <c r="BOK53" s="760">
        <f t="shared" si="63"/>
        <v>1.6317618635310026E+26</v>
      </c>
      <c r="BOL53" s="760">
        <f t="shared" si="63"/>
        <v>1.6807147194369329E+26</v>
      </c>
      <c r="BOM53" s="760">
        <f t="shared" si="63"/>
        <v>1.731136161020041E+26</v>
      </c>
      <c r="BON53" s="760">
        <f t="shared" si="63"/>
        <v>1.7830702458506424E+26</v>
      </c>
      <c r="BOO53" s="760">
        <f t="shared" si="63"/>
        <v>1.8365623532261618E+26</v>
      </c>
      <c r="BOP53" s="760">
        <f t="shared" si="63"/>
        <v>1.8916592238229466E+26</v>
      </c>
      <c r="BOQ53" s="760">
        <f t="shared" si="63"/>
        <v>1.9484090005376351E+26</v>
      </c>
      <c r="BOR53" s="760">
        <f t="shared" si="63"/>
        <v>2.0068612705537642E+26</v>
      </c>
      <c r="BOS53" s="760">
        <f t="shared" si="63"/>
        <v>2.0670671086703772E+26</v>
      </c>
      <c r="BOT53" s="760">
        <f t="shared" si="63"/>
        <v>2.1290791219304884E+26</v>
      </c>
      <c r="BOU53" s="760">
        <f t="shared" si="63"/>
        <v>2.192951495588403E+26</v>
      </c>
      <c r="BOV53" s="760">
        <f t="shared" si="63"/>
        <v>2.2587400404560553E+26</v>
      </c>
      <c r="BOW53" s="760">
        <f t="shared" si="63"/>
        <v>2.3265022416697371E+26</v>
      </c>
      <c r="BOX53" s="760">
        <f t="shared" si="63"/>
        <v>2.3962973089198293E+26</v>
      </c>
      <c r="BOY53" s="760">
        <f t="shared" si="63"/>
        <v>2.4681862281874242E+26</v>
      </c>
      <c r="BOZ53" s="760">
        <f t="shared" si="63"/>
        <v>2.5422318150330471E+26</v>
      </c>
      <c r="BPA53" s="760">
        <f t="shared" si="63"/>
        <v>2.6184987694840387E+26</v>
      </c>
      <c r="BPB53" s="760">
        <f t="shared" si="63"/>
        <v>2.6970537325685599E+26</v>
      </c>
      <c r="BPC53" s="760">
        <f t="shared" si="63"/>
        <v>2.7779653445456168E+26</v>
      </c>
      <c r="BPD53" s="760">
        <f t="shared" si="63"/>
        <v>2.8613043048819856E+26</v>
      </c>
      <c r="BPE53" s="760">
        <f t="shared" si="63"/>
        <v>2.9471434340284452E+26</v>
      </c>
      <c r="BPF53" s="760">
        <f t="shared" si="63"/>
        <v>3.0355577370492987E+26</v>
      </c>
      <c r="BPG53" s="760">
        <f t="shared" si="63"/>
        <v>3.126624469160778E+26</v>
      </c>
      <c r="BPH53" s="760">
        <f t="shared" si="63"/>
        <v>3.2204232032356017E+26</v>
      </c>
      <c r="BPI53" s="760">
        <f t="shared" si="63"/>
        <v>3.3170358993326696E+26</v>
      </c>
      <c r="BPJ53" s="760">
        <f t="shared" si="63"/>
        <v>3.4165469763126498E+26</v>
      </c>
      <c r="BPK53" s="760">
        <f t="shared" si="63"/>
        <v>3.5190433856020291E+26</v>
      </c>
      <c r="BPL53" s="760">
        <f t="shared" si="63"/>
        <v>3.6246146871700903E+26</v>
      </c>
      <c r="BPM53" s="760">
        <f t="shared" si="63"/>
        <v>3.7333531277851932E+26</v>
      </c>
      <c r="BPN53" s="760">
        <f t="shared" si="63"/>
        <v>3.8453537216187489E+26</v>
      </c>
      <c r="BPO53" s="760">
        <f t="shared" si="63"/>
        <v>3.9607143332673113E+26</v>
      </c>
      <c r="BPP53" s="760">
        <f t="shared" si="63"/>
        <v>4.0795357632653311E+26</v>
      </c>
      <c r="BPQ53" s="760">
        <f t="shared" si="63"/>
        <v>4.2019218361632911E+26</v>
      </c>
      <c r="BPR53" s="760">
        <f t="shared" si="63"/>
        <v>4.3279794912481903E+26</v>
      </c>
      <c r="BPS53" s="760">
        <f t="shared" si="63"/>
        <v>4.4578188759856361E+26</v>
      </c>
      <c r="BPT53" s="760">
        <f t="shared" si="63"/>
        <v>4.5915534422652053E+26</v>
      </c>
      <c r="BPU53" s="760">
        <f t="shared" si="63"/>
        <v>4.7293000455331616E+26</v>
      </c>
      <c r="BPV53" s="760">
        <f t="shared" si="63"/>
        <v>4.8711790468991563E+26</v>
      </c>
      <c r="BPW53" s="760">
        <f t="shared" si="63"/>
        <v>5.017314418306131E+26</v>
      </c>
      <c r="BPX53" s="760">
        <f t="shared" si="63"/>
        <v>5.1678338508553151E+26</v>
      </c>
      <c r="BPY53" s="760">
        <f t="shared" si="63"/>
        <v>5.3228688663809749E+26</v>
      </c>
      <c r="BPZ53" s="760">
        <f t="shared" si="63"/>
        <v>5.4825549323724046E+26</v>
      </c>
      <c r="BQA53" s="760">
        <f t="shared" si="63"/>
        <v>5.6470315803435772E+26</v>
      </c>
      <c r="BQB53" s="760">
        <f t="shared" si="63"/>
        <v>5.8164425277538847E+26</v>
      </c>
      <c r="BQC53" s="760">
        <f t="shared" si="63"/>
        <v>5.9909358035865012E+26</v>
      </c>
      <c r="BQD53" s="760">
        <f t="shared" si="63"/>
        <v>6.1706638776940964E+26</v>
      </c>
      <c r="BQE53" s="760">
        <f t="shared" ref="BQE53:BSP53" si="64">+BQD53*$C$53</f>
        <v>6.35578379402492E+26</v>
      </c>
      <c r="BQF53" s="760">
        <f t="shared" si="64"/>
        <v>6.546457307845668E+26</v>
      </c>
      <c r="BQG53" s="760">
        <f t="shared" si="64"/>
        <v>6.7428510270810377E+26</v>
      </c>
      <c r="BQH53" s="760">
        <f t="shared" si="64"/>
        <v>6.9451365578934696E+26</v>
      </c>
      <c r="BQI53" s="760">
        <f t="shared" si="64"/>
        <v>7.1534906546302737E+26</v>
      </c>
      <c r="BQJ53" s="760">
        <f t="shared" si="64"/>
        <v>7.3680953742691814E+26</v>
      </c>
      <c r="BQK53" s="760">
        <f t="shared" si="64"/>
        <v>7.5891382354972575E+26</v>
      </c>
      <c r="BQL53" s="760">
        <f t="shared" si="64"/>
        <v>7.8168123825621758E+26</v>
      </c>
      <c r="BQM53" s="760">
        <f t="shared" si="64"/>
        <v>8.0513167540390416E+26</v>
      </c>
      <c r="BQN53" s="760">
        <f t="shared" si="64"/>
        <v>8.292856256660213E+26</v>
      </c>
      <c r="BQO53" s="760">
        <f t="shared" si="64"/>
        <v>8.54164194436002E+26</v>
      </c>
      <c r="BQP53" s="760">
        <f t="shared" si="64"/>
        <v>8.7978912026908213E+26</v>
      </c>
      <c r="BQQ53" s="760">
        <f t="shared" si="64"/>
        <v>9.061827938771546E+26</v>
      </c>
      <c r="BQR53" s="760">
        <f t="shared" si="64"/>
        <v>9.3336827769346927E+26</v>
      </c>
      <c r="BQS53" s="760">
        <f t="shared" si="64"/>
        <v>9.6136932602427334E+26</v>
      </c>
      <c r="BQT53" s="760">
        <f t="shared" si="64"/>
        <v>9.9021040580500154E+26</v>
      </c>
      <c r="BQU53" s="760">
        <f t="shared" si="64"/>
        <v>1.0199167179791516E+27</v>
      </c>
      <c r="BQV53" s="760">
        <f t="shared" si="64"/>
        <v>1.0505142195185262E+27</v>
      </c>
      <c r="BQW53" s="760">
        <f t="shared" si="64"/>
        <v>1.0820296461040821E+27</v>
      </c>
      <c r="BQX53" s="760">
        <f t="shared" si="64"/>
        <v>1.1144905354872046E+27</v>
      </c>
      <c r="BQY53" s="760">
        <f t="shared" si="64"/>
        <v>1.1479252515518208E+27</v>
      </c>
      <c r="BQZ53" s="760">
        <f t="shared" si="64"/>
        <v>1.1823630090983754E+27</v>
      </c>
      <c r="BRA53" s="760">
        <f t="shared" si="64"/>
        <v>1.2178338993713268E+27</v>
      </c>
      <c r="BRB53" s="760">
        <f t="shared" si="64"/>
        <v>1.2543689163524666E+27</v>
      </c>
      <c r="BRC53" s="760">
        <f t="shared" si="64"/>
        <v>1.2919999838430405E+27</v>
      </c>
      <c r="BRD53" s="760">
        <f t="shared" si="64"/>
        <v>1.3307599833583319E+27</v>
      </c>
      <c r="BRE53" s="760">
        <f t="shared" si="64"/>
        <v>1.3706827828590818E+27</v>
      </c>
      <c r="BRF53" s="760">
        <f t="shared" si="64"/>
        <v>1.4118032663448543E+27</v>
      </c>
      <c r="BRG53" s="760">
        <f t="shared" si="64"/>
        <v>1.4541573643351999E+27</v>
      </c>
      <c r="BRH53" s="760">
        <f t="shared" si="64"/>
        <v>1.4977820852652559E+27</v>
      </c>
      <c r="BRI53" s="760">
        <f t="shared" si="64"/>
        <v>1.5427155478232136E+27</v>
      </c>
      <c r="BRJ53" s="760">
        <f t="shared" si="64"/>
        <v>1.58899701425791E+27</v>
      </c>
      <c r="BRK53" s="760">
        <f t="shared" si="64"/>
        <v>1.6366669246856474E+27</v>
      </c>
      <c r="BRL53" s="760">
        <f t="shared" si="64"/>
        <v>1.6857669324262169E+27</v>
      </c>
      <c r="BRM53" s="760">
        <f t="shared" si="64"/>
        <v>1.7363399403990036E+27</v>
      </c>
      <c r="BRN53" s="760">
        <f t="shared" si="64"/>
        <v>1.7884301386109737E+27</v>
      </c>
      <c r="BRO53" s="760">
        <f t="shared" si="64"/>
        <v>1.8420830427693031E+27</v>
      </c>
      <c r="BRP53" s="760">
        <f t="shared" si="64"/>
        <v>1.8973455340523821E+27</v>
      </c>
      <c r="BRQ53" s="760">
        <f t="shared" si="64"/>
        <v>1.9542659000739535E+27</v>
      </c>
      <c r="BRR53" s="760">
        <f t="shared" si="64"/>
        <v>2.0128938770761722E+27</v>
      </c>
      <c r="BRS53" s="760">
        <f t="shared" si="64"/>
        <v>2.0732806933884575E+27</v>
      </c>
      <c r="BRT53" s="760">
        <f t="shared" si="64"/>
        <v>2.1354791141901113E+27</v>
      </c>
      <c r="BRU53" s="760">
        <f t="shared" si="64"/>
        <v>2.1995434876158146E+27</v>
      </c>
      <c r="BRV53" s="760">
        <f t="shared" si="64"/>
        <v>2.2655297922442891E+27</v>
      </c>
      <c r="BRW53" s="760">
        <f t="shared" si="64"/>
        <v>2.3334956860116179E+27</v>
      </c>
      <c r="BRX53" s="760">
        <f t="shared" si="64"/>
        <v>2.4035005565919664E+27</v>
      </c>
      <c r="BRY53" s="760">
        <f t="shared" si="64"/>
        <v>2.4756055732897256E+27</v>
      </c>
      <c r="BRZ53" s="760">
        <f t="shared" si="64"/>
        <v>2.5498737404884172E+27</v>
      </c>
      <c r="BSA53" s="760">
        <f t="shared" si="64"/>
        <v>2.6263699527030697E+27</v>
      </c>
      <c r="BSB53" s="760">
        <f t="shared" si="64"/>
        <v>2.7051610512841621E+27</v>
      </c>
      <c r="BSC53" s="760">
        <f t="shared" si="64"/>
        <v>2.786315882822687E+27</v>
      </c>
      <c r="BSD53" s="760">
        <f t="shared" si="64"/>
        <v>2.8699053593073679E+27</v>
      </c>
      <c r="BSE53" s="760">
        <f t="shared" si="64"/>
        <v>2.9560025200865889E+27</v>
      </c>
      <c r="BSF53" s="760">
        <f t="shared" si="64"/>
        <v>3.0446825956891868E+27</v>
      </c>
      <c r="BSG53" s="760">
        <f t="shared" si="64"/>
        <v>3.1360230735598626E+27</v>
      </c>
      <c r="BSH53" s="760">
        <f t="shared" si="64"/>
        <v>3.2301037657666585E+27</v>
      </c>
      <c r="BSI53" s="760">
        <f t="shared" si="64"/>
        <v>3.3270068787396585E+27</v>
      </c>
      <c r="BSJ53" s="760">
        <f t="shared" si="64"/>
        <v>3.4268170851018486E+27</v>
      </c>
      <c r="BSK53" s="760">
        <f t="shared" si="64"/>
        <v>3.5296215976549041E+27</v>
      </c>
      <c r="BSL53" s="760">
        <f t="shared" si="64"/>
        <v>3.6355102455845512E+27</v>
      </c>
      <c r="BSM53" s="760">
        <f t="shared" si="64"/>
        <v>3.7445755529520879E+27</v>
      </c>
      <c r="BSN53" s="760">
        <f t="shared" si="64"/>
        <v>3.8569128195406508E+27</v>
      </c>
      <c r="BSO53" s="760">
        <f t="shared" si="64"/>
        <v>3.9726202041268706E+27</v>
      </c>
      <c r="BSP53" s="760">
        <f t="shared" si="64"/>
        <v>4.0917988102506769E+27</v>
      </c>
      <c r="BSQ53" s="760">
        <f t="shared" ref="BSQ53:BVB53" si="65">+BSP53*$C$53</f>
        <v>4.2145527745581974E+27</v>
      </c>
      <c r="BSR53" s="760">
        <f t="shared" si="65"/>
        <v>4.3409893577949436E+27</v>
      </c>
      <c r="BSS53" s="760">
        <f t="shared" si="65"/>
        <v>4.4712190385287919E+27</v>
      </c>
      <c r="BST53" s="760">
        <f t="shared" si="65"/>
        <v>4.6053556096846557E+27</v>
      </c>
      <c r="BSU53" s="760">
        <f t="shared" si="65"/>
        <v>4.7435162779751955E+27</v>
      </c>
      <c r="BSV53" s="760">
        <f t="shared" si="65"/>
        <v>4.8858217663144514E+27</v>
      </c>
      <c r="BSW53" s="760">
        <f t="shared" si="65"/>
        <v>5.0323964193038852E+27</v>
      </c>
      <c r="BSX53" s="760">
        <f t="shared" si="65"/>
        <v>5.1833683118830016E+27</v>
      </c>
      <c r="BSY53" s="760">
        <f t="shared" si="65"/>
        <v>5.3388693612394913E+27</v>
      </c>
      <c r="BSZ53" s="760">
        <f t="shared" si="65"/>
        <v>5.499035442076676E+27</v>
      </c>
      <c r="BTA53" s="760">
        <f t="shared" si="65"/>
        <v>5.6640065053389766E+27</v>
      </c>
      <c r="BTB53" s="760">
        <f t="shared" si="65"/>
        <v>5.833926700499146E+27</v>
      </c>
      <c r="BTC53" s="760">
        <f t="shared" si="65"/>
        <v>6.0089445015141205E+27</v>
      </c>
      <c r="BTD53" s="760">
        <f t="shared" si="65"/>
        <v>6.1892128365595443E+27</v>
      </c>
      <c r="BTE53" s="760">
        <f t="shared" si="65"/>
        <v>6.3748892216563306E+27</v>
      </c>
      <c r="BTF53" s="760">
        <f t="shared" si="65"/>
        <v>6.5661358983060212E+27</v>
      </c>
      <c r="BTG53" s="760">
        <f t="shared" si="65"/>
        <v>6.7631199752552023E+27</v>
      </c>
      <c r="BTH53" s="760">
        <f t="shared" si="65"/>
        <v>6.9660135745128584E+27</v>
      </c>
      <c r="BTI53" s="760">
        <f t="shared" si="65"/>
        <v>7.1749939817482439E+27</v>
      </c>
      <c r="BTJ53" s="760">
        <f t="shared" si="65"/>
        <v>7.390243801200691E+27</v>
      </c>
      <c r="BTK53" s="760">
        <f t="shared" si="65"/>
        <v>7.6119511152367121E+27</v>
      </c>
      <c r="BTL53" s="760">
        <f t="shared" si="65"/>
        <v>7.8403096486938139E+27</v>
      </c>
      <c r="BTM53" s="760">
        <f t="shared" si="65"/>
        <v>8.0755189381546285E+27</v>
      </c>
      <c r="BTN53" s="760">
        <f t="shared" si="65"/>
        <v>8.3177845062992681E+27</v>
      </c>
      <c r="BTO53" s="760">
        <f t="shared" si="65"/>
        <v>8.5673180414882461E+27</v>
      </c>
      <c r="BTP53" s="760">
        <f t="shared" si="65"/>
        <v>8.8243375827328941E+27</v>
      </c>
      <c r="BTQ53" s="760">
        <f t="shared" si="65"/>
        <v>9.0890677102148811E+27</v>
      </c>
      <c r="BTR53" s="760">
        <f t="shared" si="65"/>
        <v>9.3617397415213275E+27</v>
      </c>
      <c r="BTS53" s="760">
        <f t="shared" si="65"/>
        <v>9.642591933766968E+27</v>
      </c>
      <c r="BTT53" s="760">
        <f t="shared" si="65"/>
        <v>9.9318696917799782E+27</v>
      </c>
      <c r="BTU53" s="760">
        <f t="shared" si="65"/>
        <v>1.0229825782533377E+28</v>
      </c>
      <c r="BTV53" s="760">
        <f t="shared" si="65"/>
        <v>1.0536720556009378E+28</v>
      </c>
      <c r="BTW53" s="760">
        <f t="shared" si="65"/>
        <v>1.0852822172689661E+28</v>
      </c>
      <c r="BTX53" s="760">
        <f t="shared" si="65"/>
        <v>1.117840683787035E+28</v>
      </c>
      <c r="BTY53" s="760">
        <f t="shared" si="65"/>
        <v>1.151375904300646E+28</v>
      </c>
      <c r="BTZ53" s="760">
        <f t="shared" si="65"/>
        <v>1.1859171814296654E+28</v>
      </c>
      <c r="BUA53" s="760">
        <f t="shared" si="65"/>
        <v>1.2214946968725555E+28</v>
      </c>
      <c r="BUB53" s="760">
        <f t="shared" si="65"/>
        <v>1.2581395377787322E+28</v>
      </c>
      <c r="BUC53" s="760">
        <f t="shared" si="65"/>
        <v>1.2958837239120942E+28</v>
      </c>
      <c r="BUD53" s="760">
        <f t="shared" si="65"/>
        <v>1.334760235629457E+28</v>
      </c>
      <c r="BUE53" s="760">
        <f t="shared" si="65"/>
        <v>1.3748030426983408E+28</v>
      </c>
      <c r="BUF53" s="760">
        <f t="shared" si="65"/>
        <v>1.416047133979291E+28</v>
      </c>
      <c r="BUG53" s="760">
        <f t="shared" si="65"/>
        <v>1.4585285479986698E+28</v>
      </c>
      <c r="BUH53" s="760">
        <f t="shared" si="65"/>
        <v>1.5022844044386299E+28</v>
      </c>
      <c r="BUI53" s="760">
        <f t="shared" si="65"/>
        <v>1.5473529365717888E+28</v>
      </c>
      <c r="BUJ53" s="760">
        <f t="shared" si="65"/>
        <v>1.5937735246689426E+28</v>
      </c>
      <c r="BUK53" s="760">
        <f t="shared" si="65"/>
        <v>1.6415867304090108E+28</v>
      </c>
      <c r="BUL53" s="760">
        <f t="shared" si="65"/>
        <v>1.6908343323212811E+28</v>
      </c>
      <c r="BUM53" s="760">
        <f t="shared" si="65"/>
        <v>1.7415593622909196E+28</v>
      </c>
      <c r="BUN53" s="760">
        <f t="shared" si="65"/>
        <v>1.7938061431596473E+28</v>
      </c>
      <c r="BUO53" s="760">
        <f t="shared" si="65"/>
        <v>1.8476203274544368E+28</v>
      </c>
      <c r="BUP53" s="760">
        <f t="shared" si="65"/>
        <v>1.9030489372780699E+28</v>
      </c>
      <c r="BUQ53" s="760">
        <f t="shared" si="65"/>
        <v>1.960140405396412E+28</v>
      </c>
      <c r="BUR53" s="760">
        <f t="shared" si="65"/>
        <v>2.0189446175583045E+28</v>
      </c>
      <c r="BUS53" s="760">
        <f t="shared" si="65"/>
        <v>2.0795129560850538E+28</v>
      </c>
      <c r="BUT53" s="760">
        <f t="shared" si="65"/>
        <v>2.1418983447676055E+28</v>
      </c>
      <c r="BUU53" s="760">
        <f t="shared" si="65"/>
        <v>2.2061552951106338E+28</v>
      </c>
      <c r="BUV53" s="760">
        <f t="shared" si="65"/>
        <v>2.2723399539639529E+28</v>
      </c>
      <c r="BUW53" s="760">
        <f t="shared" si="65"/>
        <v>2.3405101525828716E+28</v>
      </c>
      <c r="BUX53" s="760">
        <f t="shared" si="65"/>
        <v>2.4107254571603577E+28</v>
      </c>
      <c r="BUY53" s="760">
        <f t="shared" si="65"/>
        <v>2.4830472208751684E+28</v>
      </c>
      <c r="BUZ53" s="760">
        <f t="shared" si="65"/>
        <v>2.5575386375014235E+28</v>
      </c>
      <c r="BVA53" s="760">
        <f t="shared" si="65"/>
        <v>2.6342647966264665E+28</v>
      </c>
      <c r="BVB53" s="760">
        <f t="shared" si="65"/>
        <v>2.7132927405252608E+28</v>
      </c>
      <c r="BVC53" s="760">
        <f t="shared" ref="BVC53:BXN53" si="66">+BVB53*$C$53</f>
        <v>2.7946915227410188E+28</v>
      </c>
      <c r="BVD53" s="760">
        <f t="shared" si="66"/>
        <v>2.8785322684232496E+28</v>
      </c>
      <c r="BVE53" s="760">
        <f t="shared" si="66"/>
        <v>2.9648882364759473E+28</v>
      </c>
      <c r="BVF53" s="760">
        <f t="shared" si="66"/>
        <v>3.0538348835702259E+28</v>
      </c>
      <c r="BVG53" s="760">
        <f t="shared" si="66"/>
        <v>3.1454499300773326E+28</v>
      </c>
      <c r="BVH53" s="760">
        <f t="shared" si="66"/>
        <v>3.2398134279796525E+28</v>
      </c>
      <c r="BVI53" s="760">
        <f t="shared" si="66"/>
        <v>3.337007830819042E+28</v>
      </c>
      <c r="BVJ53" s="760">
        <f t="shared" si="66"/>
        <v>3.4371180657436134E+28</v>
      </c>
      <c r="BVK53" s="760">
        <f t="shared" si="66"/>
        <v>3.5402316077159221E+28</v>
      </c>
      <c r="BVL53" s="760">
        <f t="shared" si="66"/>
        <v>3.6464385559473999E+28</v>
      </c>
      <c r="BVM53" s="760">
        <f t="shared" si="66"/>
        <v>3.7558317126258221E+28</v>
      </c>
      <c r="BVN53" s="760">
        <f t="shared" si="66"/>
        <v>3.8685066640045969E+28</v>
      </c>
      <c r="BVO53" s="760">
        <f t="shared" si="66"/>
        <v>3.9845618639247346E+28</v>
      </c>
      <c r="BVP53" s="760">
        <f t="shared" si="66"/>
        <v>4.1040987198424764E+28</v>
      </c>
      <c r="BVQ53" s="760">
        <f t="shared" si="66"/>
        <v>4.2272216814377506E+28</v>
      </c>
      <c r="BVR53" s="760">
        <f t="shared" si="66"/>
        <v>4.354038331880883E+28</v>
      </c>
      <c r="BVS53" s="760">
        <f t="shared" si="66"/>
        <v>4.4846594818373092E+28</v>
      </c>
      <c r="BVT53" s="760">
        <f t="shared" si="66"/>
        <v>4.619199266292429E+28</v>
      </c>
      <c r="BVU53" s="760">
        <f t="shared" si="66"/>
        <v>4.7577752442812022E+28</v>
      </c>
      <c r="BVV53" s="760">
        <f t="shared" si="66"/>
        <v>4.9005085016096385E+28</v>
      </c>
      <c r="BVW53" s="760">
        <f t="shared" si="66"/>
        <v>5.0475237566579282E+28</v>
      </c>
      <c r="BVX53" s="760">
        <f t="shared" si="66"/>
        <v>5.1989494693576665E+28</v>
      </c>
      <c r="BVY53" s="760">
        <f t="shared" si="66"/>
        <v>5.3549179534383965E+28</v>
      </c>
      <c r="BVZ53" s="760">
        <f t="shared" si="66"/>
        <v>5.5155654920415486E+28</v>
      </c>
      <c r="BWA53" s="760">
        <f t="shared" si="66"/>
        <v>5.6810324568027952E+28</v>
      </c>
      <c r="BWB53" s="760">
        <f t="shared" si="66"/>
        <v>5.8514634305068791E+28</v>
      </c>
      <c r="BWC53" s="760">
        <f t="shared" si="66"/>
        <v>6.0270073334220856E+28</v>
      </c>
      <c r="BWD53" s="760">
        <f t="shared" si="66"/>
        <v>6.2078175534247482E+28</v>
      </c>
      <c r="BWE53" s="760">
        <f t="shared" si="66"/>
        <v>6.394052080027491E+28</v>
      </c>
      <c r="BWF53" s="760">
        <f t="shared" si="66"/>
        <v>6.5858736424283157E+28</v>
      </c>
      <c r="BWG53" s="760">
        <f t="shared" si="66"/>
        <v>6.7834498517011653E+28</v>
      </c>
      <c r="BWH53" s="760">
        <f t="shared" si="66"/>
        <v>6.9869533472522001E+28</v>
      </c>
      <c r="BWI53" s="760">
        <f t="shared" si="66"/>
        <v>7.1965619476697662E+28</v>
      </c>
      <c r="BWJ53" s="760">
        <f t="shared" si="66"/>
        <v>7.4124588060998593E+28</v>
      </c>
      <c r="BWK53" s="760">
        <f t="shared" si="66"/>
        <v>7.6348325702828555E+28</v>
      </c>
      <c r="BWL53" s="760">
        <f t="shared" si="66"/>
        <v>7.8638775473913414E+28</v>
      </c>
      <c r="BWM53" s="760">
        <f t="shared" si="66"/>
        <v>8.0997938738130827E+28</v>
      </c>
      <c r="BWN53" s="760">
        <f t="shared" si="66"/>
        <v>8.342787690027475E+28</v>
      </c>
      <c r="BWO53" s="760">
        <f t="shared" si="66"/>
        <v>8.5930713207283002E+28</v>
      </c>
      <c r="BWP53" s="760">
        <f t="shared" si="66"/>
        <v>8.8508634603501499E+28</v>
      </c>
      <c r="BWQ53" s="760">
        <f t="shared" si="66"/>
        <v>9.1163893641606539E+28</v>
      </c>
      <c r="BWR53" s="760">
        <f t="shared" si="66"/>
        <v>9.3898810450854739E+28</v>
      </c>
      <c r="BWS53" s="760">
        <f t="shared" si="66"/>
        <v>9.6715774764380388E+28</v>
      </c>
      <c r="BWT53" s="760">
        <f t="shared" si="66"/>
        <v>9.9617248007311796E+28</v>
      </c>
      <c r="BWU53" s="760">
        <f t="shared" si="66"/>
        <v>1.0260576544753116E+29</v>
      </c>
      <c r="BWV53" s="760">
        <f t="shared" si="66"/>
        <v>1.0568393841095709E+29</v>
      </c>
      <c r="BWW53" s="760">
        <f t="shared" si="66"/>
        <v>1.088544565632858E+29</v>
      </c>
      <c r="BWX53" s="760">
        <f t="shared" si="66"/>
        <v>1.1212009026018438E+29</v>
      </c>
      <c r="BWY53" s="760">
        <f t="shared" si="66"/>
        <v>1.1548369296798992E+29</v>
      </c>
      <c r="BWZ53" s="760">
        <f t="shared" si="66"/>
        <v>1.1894820375702962E+29</v>
      </c>
      <c r="BXA53" s="760">
        <f t="shared" si="66"/>
        <v>1.225166498697405E+29</v>
      </c>
      <c r="BXB53" s="760">
        <f t="shared" si="66"/>
        <v>1.2619214936583272E+29</v>
      </c>
      <c r="BXC53" s="760">
        <f t="shared" si="66"/>
        <v>1.2997791384680772E+29</v>
      </c>
      <c r="BXD53" s="760">
        <f t="shared" si="66"/>
        <v>1.3387725126221194E+29</v>
      </c>
      <c r="BXE53" s="760">
        <f t="shared" si="66"/>
        <v>1.3789356880007831E+29</v>
      </c>
      <c r="BXF53" s="760">
        <f t="shared" si="66"/>
        <v>1.4203037586408066E+29</v>
      </c>
      <c r="BXG53" s="760">
        <f t="shared" si="66"/>
        <v>1.4629128714000308E+29</v>
      </c>
      <c r="BXH53" s="760">
        <f t="shared" si="66"/>
        <v>1.5068002575420317E+29</v>
      </c>
      <c r="BXI53" s="760">
        <f t="shared" si="66"/>
        <v>1.5520042652682928E+29</v>
      </c>
      <c r="BXJ53" s="760">
        <f t="shared" si="66"/>
        <v>1.5985643932263415E+29</v>
      </c>
      <c r="BXK53" s="760">
        <f t="shared" si="66"/>
        <v>1.6465213250231319E+29</v>
      </c>
      <c r="BXL53" s="760">
        <f t="shared" si="66"/>
        <v>1.695916964773826E+29</v>
      </c>
      <c r="BXM53" s="760">
        <f t="shared" si="66"/>
        <v>1.7467944737170407E+29</v>
      </c>
      <c r="BXN53" s="760">
        <f t="shared" si="66"/>
        <v>1.799198307928552E+29</v>
      </c>
      <c r="BXO53" s="760">
        <f t="shared" ref="BXO53:BZZ53" si="67">+BXN53*$C$53</f>
        <v>1.8531742571664087E+29</v>
      </c>
      <c r="BXP53" s="760">
        <f t="shared" si="67"/>
        <v>1.9087694848814012E+29</v>
      </c>
      <c r="BXQ53" s="760">
        <f t="shared" si="67"/>
        <v>1.9660325694278435E+29</v>
      </c>
      <c r="BXR53" s="760">
        <f t="shared" si="67"/>
        <v>2.0250135465106787E+29</v>
      </c>
      <c r="BXS53" s="760">
        <f t="shared" si="67"/>
        <v>2.0857639529059989E+29</v>
      </c>
      <c r="BXT53" s="760">
        <f t="shared" si="67"/>
        <v>2.1483368714931791E+29</v>
      </c>
      <c r="BXU53" s="760">
        <f t="shared" si="67"/>
        <v>2.2127869776379745E+29</v>
      </c>
      <c r="BXV53" s="760">
        <f t="shared" si="67"/>
        <v>2.2791705869671136E+29</v>
      </c>
      <c r="BXW53" s="760">
        <f t="shared" si="67"/>
        <v>2.347545704576127E+29</v>
      </c>
      <c r="BXX53" s="760">
        <f t="shared" si="67"/>
        <v>2.4179720757134108E+29</v>
      </c>
      <c r="BXY53" s="760">
        <f t="shared" si="67"/>
        <v>2.490511237984813E+29</v>
      </c>
      <c r="BXZ53" s="760">
        <f t="shared" si="67"/>
        <v>2.5652265751243577E+29</v>
      </c>
      <c r="BYA53" s="760">
        <f t="shared" si="67"/>
        <v>2.6421833723780885E+29</v>
      </c>
      <c r="BYB53" s="760">
        <f t="shared" si="67"/>
        <v>2.7214488735494311E+29</v>
      </c>
      <c r="BYC53" s="760">
        <f t="shared" si="67"/>
        <v>2.8030923397559142E+29</v>
      </c>
      <c r="BYD53" s="760">
        <f t="shared" si="67"/>
        <v>2.8871851099485917E+29</v>
      </c>
      <c r="BYE53" s="760">
        <f t="shared" si="67"/>
        <v>2.9738006632470495E+29</v>
      </c>
      <c r="BYF53" s="760">
        <f t="shared" si="67"/>
        <v>3.063014683144461E+29</v>
      </c>
      <c r="BYG53" s="760">
        <f t="shared" si="67"/>
        <v>3.154905123638795E+29</v>
      </c>
      <c r="BYH53" s="760">
        <f t="shared" si="67"/>
        <v>3.2495522773479588E+29</v>
      </c>
      <c r="BYI53" s="760">
        <f t="shared" si="67"/>
        <v>3.3470388456683976E+29</v>
      </c>
      <c r="BYJ53" s="760">
        <f t="shared" si="67"/>
        <v>3.4474500110384495E+29</v>
      </c>
      <c r="BYK53" s="760">
        <f t="shared" si="67"/>
        <v>3.5508735113696031E+29</v>
      </c>
      <c r="BYL53" s="760">
        <f t="shared" si="67"/>
        <v>3.6573997167106913E+29</v>
      </c>
      <c r="BYM53" s="760">
        <f t="shared" si="67"/>
        <v>3.7671217082120122E+29</v>
      </c>
      <c r="BYN53" s="760">
        <f t="shared" si="67"/>
        <v>3.8801353594583729E+29</v>
      </c>
      <c r="BYO53" s="760">
        <f t="shared" si="67"/>
        <v>3.996539420242124E+29</v>
      </c>
      <c r="BYP53" s="760">
        <f t="shared" si="67"/>
        <v>4.1164356028493881E+29</v>
      </c>
      <c r="BYQ53" s="760">
        <f t="shared" si="67"/>
        <v>4.2399286709348698E+29</v>
      </c>
      <c r="BYR53" s="760">
        <f t="shared" si="67"/>
        <v>4.367126531062916E+29</v>
      </c>
      <c r="BYS53" s="760">
        <f t="shared" si="67"/>
        <v>4.4981403269948038E+29</v>
      </c>
      <c r="BYT53" s="760">
        <f t="shared" si="67"/>
        <v>4.6330845368046478E+29</v>
      </c>
      <c r="BYU53" s="760">
        <f t="shared" si="67"/>
        <v>4.7720770729087876E+29</v>
      </c>
      <c r="BYV53" s="760">
        <f t="shared" si="67"/>
        <v>4.9152393850960514E+29</v>
      </c>
      <c r="BYW53" s="760">
        <f t="shared" si="67"/>
        <v>5.0626965666489334E+29</v>
      </c>
      <c r="BYX53" s="760">
        <f t="shared" si="67"/>
        <v>5.2145774636484014E+29</v>
      </c>
      <c r="BYY53" s="760">
        <f t="shared" si="67"/>
        <v>5.3710147875578535E+29</v>
      </c>
      <c r="BYZ53" s="760">
        <f t="shared" si="67"/>
        <v>5.5321452311845893E+29</v>
      </c>
      <c r="BZA53" s="760">
        <f t="shared" si="67"/>
        <v>5.6981095881201274E+29</v>
      </c>
      <c r="BZB53" s="760">
        <f t="shared" si="67"/>
        <v>5.8690528757637313E+29</v>
      </c>
      <c r="BZC53" s="760">
        <f t="shared" si="67"/>
        <v>6.0451244620366434E+29</v>
      </c>
      <c r="BZD53" s="760">
        <f t="shared" si="67"/>
        <v>6.2264781958977425E+29</v>
      </c>
      <c r="BZE53" s="760">
        <f t="shared" si="67"/>
        <v>6.413272541774675E+29</v>
      </c>
      <c r="BZF53" s="760">
        <f t="shared" si="67"/>
        <v>6.6056707180279149E+29</v>
      </c>
      <c r="BZG53" s="760">
        <f t="shared" si="67"/>
        <v>6.8038408395687521E+29</v>
      </c>
      <c r="BZH53" s="760">
        <f t="shared" si="67"/>
        <v>7.0079560647558141E+29</v>
      </c>
      <c r="BZI53" s="760">
        <f t="shared" si="67"/>
        <v>7.2181947466984893E+29</v>
      </c>
      <c r="BZJ53" s="760">
        <f t="shared" si="67"/>
        <v>7.4347405890994442E+29</v>
      </c>
      <c r="BZK53" s="760">
        <f t="shared" si="67"/>
        <v>7.6577828067724271E+29</v>
      </c>
      <c r="BZL53" s="760">
        <f t="shared" si="67"/>
        <v>7.8875162909755997E+29</v>
      </c>
      <c r="BZM53" s="760">
        <f t="shared" si="67"/>
        <v>8.1241417797048679E+29</v>
      </c>
      <c r="BZN53" s="760">
        <f t="shared" si="67"/>
        <v>8.3678660330960142E+29</v>
      </c>
      <c r="BZO53" s="760">
        <f t="shared" si="67"/>
        <v>8.618902014088895E+29</v>
      </c>
      <c r="BZP53" s="760">
        <f t="shared" si="67"/>
        <v>8.8774690745115621E+29</v>
      </c>
      <c r="BZQ53" s="760">
        <f t="shared" si="67"/>
        <v>9.1437931467469091E+29</v>
      </c>
      <c r="BZR53" s="760">
        <f t="shared" si="67"/>
        <v>9.4181069411493162E+29</v>
      </c>
      <c r="BZS53" s="760">
        <f t="shared" si="67"/>
        <v>9.7006501493837961E+29</v>
      </c>
      <c r="BZT53" s="760">
        <f t="shared" si="67"/>
        <v>9.9916696538653105E+29</v>
      </c>
      <c r="BZU53" s="760">
        <f t="shared" si="67"/>
        <v>1.029141974348127E+30</v>
      </c>
      <c r="BZV53" s="760">
        <f t="shared" si="67"/>
        <v>1.0600162335785708E+30</v>
      </c>
      <c r="BZW53" s="760">
        <f t="shared" si="67"/>
        <v>1.091816720585928E+30</v>
      </c>
      <c r="BZX53" s="760">
        <f t="shared" si="67"/>
        <v>1.1245712222035059E+30</v>
      </c>
      <c r="BZY53" s="760">
        <f t="shared" si="67"/>
        <v>1.1583083588696111E+30</v>
      </c>
      <c r="BZZ53" s="760">
        <f t="shared" si="67"/>
        <v>1.1930576096356995E+30</v>
      </c>
      <c r="CAA53" s="760">
        <f t="shared" ref="CAA53:CCL53" si="68">+BZZ53*$C$53</f>
        <v>1.2288493379247705E+30</v>
      </c>
      <c r="CAB53" s="760">
        <f t="shared" si="68"/>
        <v>1.2657148180625138E+30</v>
      </c>
      <c r="CAC53" s="760">
        <f t="shared" si="68"/>
        <v>1.3036862626043893E+30</v>
      </c>
      <c r="CAD53" s="760">
        <f t="shared" si="68"/>
        <v>1.3427968504825212E+30</v>
      </c>
      <c r="CAE53" s="760">
        <f t="shared" si="68"/>
        <v>1.3830807559969969E+30</v>
      </c>
      <c r="CAF53" s="760">
        <f t="shared" si="68"/>
        <v>1.4245731786769068E+30</v>
      </c>
      <c r="CAG53" s="760">
        <f t="shared" si="68"/>
        <v>1.4673103740372141E+30</v>
      </c>
      <c r="CAH53" s="760">
        <f t="shared" si="68"/>
        <v>1.5113296852583306E+30</v>
      </c>
      <c r="CAI53" s="760">
        <f t="shared" si="68"/>
        <v>1.5566695758160806E+30</v>
      </c>
      <c r="CAJ53" s="760">
        <f t="shared" si="68"/>
        <v>1.603369663090563E+30</v>
      </c>
      <c r="CAK53" s="760">
        <f t="shared" si="68"/>
        <v>1.65147075298328E+30</v>
      </c>
      <c r="CAL53" s="760">
        <f t="shared" si="68"/>
        <v>1.7010148755727784E+30</v>
      </c>
      <c r="CAM53" s="760">
        <f t="shared" si="68"/>
        <v>1.7520453218399617E+30</v>
      </c>
      <c r="CAN53" s="760">
        <f t="shared" si="68"/>
        <v>1.8046066814951606E+30</v>
      </c>
      <c r="CAO53" s="760">
        <f t="shared" si="68"/>
        <v>1.8587448819400154E+30</v>
      </c>
      <c r="CAP53" s="760">
        <f t="shared" si="68"/>
        <v>1.914507228398216E+30</v>
      </c>
      <c r="CAQ53" s="760">
        <f t="shared" si="68"/>
        <v>1.9719424452501624E+30</v>
      </c>
      <c r="CAR53" s="760">
        <f t="shared" si="68"/>
        <v>2.0311007186076674E+30</v>
      </c>
      <c r="CAS53" s="760">
        <f t="shared" si="68"/>
        <v>2.0920337401658975E+30</v>
      </c>
      <c r="CAT53" s="760">
        <f t="shared" si="68"/>
        <v>2.1547947523708745E+30</v>
      </c>
      <c r="CAU53" s="760">
        <f t="shared" si="68"/>
        <v>2.2194385949420009E+30</v>
      </c>
      <c r="CAV53" s="760">
        <f t="shared" si="68"/>
        <v>2.2860217527902612E+30</v>
      </c>
      <c r="CAW53" s="760">
        <f t="shared" si="68"/>
        <v>2.3546024053739691E+30</v>
      </c>
      <c r="CAX53" s="760">
        <f t="shared" si="68"/>
        <v>2.4252404775351882E+30</v>
      </c>
      <c r="CAY53" s="760">
        <f t="shared" si="68"/>
        <v>2.4979976918612439E+30</v>
      </c>
      <c r="CAZ53" s="760">
        <f t="shared" si="68"/>
        <v>2.5729376226170813E+30</v>
      </c>
      <c r="CBA53" s="760">
        <f t="shared" si="68"/>
        <v>2.6501257512955937E+30</v>
      </c>
      <c r="CBB53" s="760">
        <f t="shared" si="68"/>
        <v>2.7296295238344617E+30</v>
      </c>
      <c r="CBC53" s="760">
        <f t="shared" si="68"/>
        <v>2.8115184095494956E+30</v>
      </c>
      <c r="CBD53" s="760">
        <f t="shared" si="68"/>
        <v>2.8958639618359806E+30</v>
      </c>
      <c r="CBE53" s="760">
        <f t="shared" si="68"/>
        <v>2.9827398806910603E+30</v>
      </c>
      <c r="CBF53" s="760">
        <f t="shared" si="68"/>
        <v>3.0722220771117923E+30</v>
      </c>
      <c r="CBG53" s="760">
        <f t="shared" si="68"/>
        <v>3.1643887394251459E+30</v>
      </c>
      <c r="CBH53" s="760">
        <f t="shared" si="68"/>
        <v>3.2593204016079004E+30</v>
      </c>
      <c r="CBI53" s="760">
        <f t="shared" si="68"/>
        <v>3.3571000136561375E+30</v>
      </c>
      <c r="CBJ53" s="760">
        <f t="shared" si="68"/>
        <v>3.4578130140658218E+30</v>
      </c>
      <c r="CBK53" s="760">
        <f t="shared" si="68"/>
        <v>3.5615474044877967E+30</v>
      </c>
      <c r="CBL53" s="760">
        <f t="shared" si="68"/>
        <v>3.6683938266224305E+30</v>
      </c>
      <c r="CBM53" s="760">
        <f t="shared" si="68"/>
        <v>3.7784456414211038E+30</v>
      </c>
      <c r="CBN53" s="760">
        <f t="shared" si="68"/>
        <v>3.8917990106637367E+30</v>
      </c>
      <c r="CBO53" s="760">
        <f t="shared" si="68"/>
        <v>4.008552980983649E+30</v>
      </c>
      <c r="CBP53" s="760">
        <f t="shared" si="68"/>
        <v>4.1288095704131584E+30</v>
      </c>
      <c r="CBQ53" s="760">
        <f t="shared" si="68"/>
        <v>4.2526738575255534E+30</v>
      </c>
      <c r="CBR53" s="760">
        <f t="shared" si="68"/>
        <v>4.38025407325132E+30</v>
      </c>
      <c r="CBS53" s="760">
        <f t="shared" si="68"/>
        <v>4.5116616954488598E+30</v>
      </c>
      <c r="CBT53" s="760">
        <f t="shared" si="68"/>
        <v>4.647011546312326E+30</v>
      </c>
      <c r="CBU53" s="760">
        <f t="shared" si="68"/>
        <v>4.7864218927016957E+30</v>
      </c>
      <c r="CBV53" s="760">
        <f t="shared" si="68"/>
        <v>4.9300145494827469E+30</v>
      </c>
      <c r="CBW53" s="760">
        <f t="shared" si="68"/>
        <v>5.0779149859672289E+30</v>
      </c>
      <c r="CBX53" s="760">
        <f t="shared" si="68"/>
        <v>5.2302524355462461E+30</v>
      </c>
      <c r="CBY53" s="760">
        <f t="shared" si="68"/>
        <v>5.3871600086126337E+30</v>
      </c>
      <c r="CBZ53" s="760">
        <f t="shared" si="68"/>
        <v>5.5487748088710133E+30</v>
      </c>
      <c r="CCA53" s="760">
        <f t="shared" si="68"/>
        <v>5.7152380531371441E+30</v>
      </c>
      <c r="CCB53" s="760">
        <f t="shared" si="68"/>
        <v>5.8866951947312583E+30</v>
      </c>
      <c r="CCC53" s="760">
        <f t="shared" si="68"/>
        <v>6.0632960505731962E+30</v>
      </c>
      <c r="CCD53" s="760">
        <f t="shared" si="68"/>
        <v>6.2451949320903928E+30</v>
      </c>
      <c r="CCE53" s="760">
        <f t="shared" si="68"/>
        <v>6.4325507800531043E+30</v>
      </c>
      <c r="CCF53" s="760">
        <f t="shared" si="68"/>
        <v>6.6255273034546972E+30</v>
      </c>
      <c r="CCG53" s="760">
        <f t="shared" si="68"/>
        <v>6.8242931225583384E+30</v>
      </c>
      <c r="CCH53" s="760">
        <f t="shared" si="68"/>
        <v>7.0290219162350886E+30</v>
      </c>
      <c r="CCI53" s="760">
        <f t="shared" si="68"/>
        <v>7.2398925737221414E+30</v>
      </c>
      <c r="CCJ53" s="760">
        <f t="shared" si="68"/>
        <v>7.4570893509338055E+30</v>
      </c>
      <c r="CCK53" s="760">
        <f t="shared" si="68"/>
        <v>7.6808020314618202E+30</v>
      </c>
      <c r="CCL53" s="760">
        <f t="shared" si="68"/>
        <v>7.9112260924056746E+30</v>
      </c>
      <c r="CCM53" s="760">
        <f t="shared" ref="CCM53:CEX53" si="69">+CCL53*$C$53</f>
        <v>8.1485628751778448E+30</v>
      </c>
      <c r="CCN53" s="760">
        <f t="shared" si="69"/>
        <v>8.3930197614331801E+30</v>
      </c>
      <c r="CCO53" s="760">
        <f t="shared" si="69"/>
        <v>8.6448103542761763E+30</v>
      </c>
      <c r="CCP53" s="760">
        <f t="shared" si="69"/>
        <v>8.9041546649044618E+30</v>
      </c>
      <c r="CCQ53" s="760">
        <f t="shared" si="69"/>
        <v>9.1712793048515964E+30</v>
      </c>
      <c r="CCR53" s="760">
        <f t="shared" si="69"/>
        <v>9.4464176839971447E+30</v>
      </c>
      <c r="CCS53" s="760">
        <f t="shared" si="69"/>
        <v>9.7298102145170591E+30</v>
      </c>
      <c r="CCT53" s="760">
        <f t="shared" si="69"/>
        <v>1.0021704520952571E+31</v>
      </c>
      <c r="CCU53" s="760">
        <f t="shared" si="69"/>
        <v>1.0322355656581147E+31</v>
      </c>
      <c r="CCV53" s="760">
        <f t="shared" si="69"/>
        <v>1.0632026326278583E+31</v>
      </c>
      <c r="CCW53" s="760">
        <f t="shared" si="69"/>
        <v>1.0950987116066942E+31</v>
      </c>
      <c r="CCX53" s="760">
        <f t="shared" si="69"/>
        <v>1.1279516729548951E+31</v>
      </c>
      <c r="CCY53" s="760">
        <f t="shared" si="69"/>
        <v>1.161790223143542E+31</v>
      </c>
      <c r="CCZ53" s="760">
        <f t="shared" si="69"/>
        <v>1.1966439298378483E+31</v>
      </c>
      <c r="CDA53" s="760">
        <f t="shared" si="69"/>
        <v>1.2325432477329837E+31</v>
      </c>
      <c r="CDB53" s="760">
        <f t="shared" si="69"/>
        <v>1.2695195451649731E+31</v>
      </c>
      <c r="CDC53" s="760">
        <f t="shared" si="69"/>
        <v>1.3076051315199223E+31</v>
      </c>
      <c r="CDD53" s="760">
        <f t="shared" si="69"/>
        <v>1.34683328546552E+31</v>
      </c>
      <c r="CDE53" s="760">
        <f t="shared" si="69"/>
        <v>1.3872382840294856E+31</v>
      </c>
      <c r="CDF53" s="760">
        <f t="shared" si="69"/>
        <v>1.4288554325503701E+31</v>
      </c>
      <c r="CDG53" s="760">
        <f t="shared" si="69"/>
        <v>1.4717210955268812E+31</v>
      </c>
      <c r="CDH53" s="760">
        <f t="shared" si="69"/>
        <v>1.5158727283926878E+31</v>
      </c>
      <c r="CDI53" s="760">
        <f t="shared" si="69"/>
        <v>1.5613489102444684E+31</v>
      </c>
      <c r="CDJ53" s="760">
        <f t="shared" si="69"/>
        <v>1.6081893775518025E+31</v>
      </c>
      <c r="CDK53" s="760">
        <f t="shared" si="69"/>
        <v>1.6564350588783565E+31</v>
      </c>
      <c r="CDL53" s="760">
        <f t="shared" si="69"/>
        <v>1.7061281106447074E+31</v>
      </c>
      <c r="CDM53" s="760">
        <f t="shared" si="69"/>
        <v>1.7573119539640487E+31</v>
      </c>
      <c r="CDN53" s="760">
        <f t="shared" si="69"/>
        <v>1.8100313125829701E+31</v>
      </c>
      <c r="CDO53" s="760">
        <f t="shared" si="69"/>
        <v>1.8643322519604593E+31</v>
      </c>
      <c r="CDP53" s="760">
        <f t="shared" si="69"/>
        <v>1.9202622195192732E+31</v>
      </c>
      <c r="CDQ53" s="760">
        <f t="shared" si="69"/>
        <v>1.9778700861048515E+31</v>
      </c>
      <c r="CDR53" s="760">
        <f t="shared" si="69"/>
        <v>2.0372061886879971E+31</v>
      </c>
      <c r="CDS53" s="760">
        <f t="shared" si="69"/>
        <v>2.0983223743486372E+31</v>
      </c>
      <c r="CDT53" s="760">
        <f t="shared" si="69"/>
        <v>2.1612720455790963E+31</v>
      </c>
      <c r="CDU53" s="760">
        <f t="shared" si="69"/>
        <v>2.2261102069464695E+31</v>
      </c>
      <c r="CDV53" s="760">
        <f t="shared" si="69"/>
        <v>2.2928935131548638E+31</v>
      </c>
      <c r="CDW53" s="760">
        <f t="shared" si="69"/>
        <v>2.3616803185495098E+31</v>
      </c>
      <c r="CDX53" s="760">
        <f t="shared" si="69"/>
        <v>2.4325307281059954E+31</v>
      </c>
      <c r="CDY53" s="760">
        <f t="shared" si="69"/>
        <v>2.5055066499491751E+31</v>
      </c>
      <c r="CDZ53" s="760">
        <f t="shared" si="69"/>
        <v>2.5806718494476504E+31</v>
      </c>
      <c r="CEA53" s="760">
        <f t="shared" si="69"/>
        <v>2.6580920049310799E+31</v>
      </c>
      <c r="CEB53" s="760">
        <f t="shared" si="69"/>
        <v>2.7378347650790123E+31</v>
      </c>
      <c r="CEC53" s="760">
        <f t="shared" si="69"/>
        <v>2.8199698080313829E+31</v>
      </c>
      <c r="CED53" s="760">
        <f t="shared" si="69"/>
        <v>2.9045689022723247E+31</v>
      </c>
      <c r="CEE53" s="760">
        <f t="shared" si="69"/>
        <v>2.9917059693404944E+31</v>
      </c>
      <c r="CEF53" s="760">
        <f t="shared" si="69"/>
        <v>3.0814571484207095E+31</v>
      </c>
      <c r="CEG53" s="760">
        <f t="shared" si="69"/>
        <v>3.1739008628733308E+31</v>
      </c>
      <c r="CEH53" s="760">
        <f t="shared" si="69"/>
        <v>3.269117888759531E+31</v>
      </c>
      <c r="CEI53" s="760">
        <f t="shared" si="69"/>
        <v>3.367191425422317E+31</v>
      </c>
      <c r="CEJ53" s="760">
        <f t="shared" si="69"/>
        <v>3.4682071681849868E+31</v>
      </c>
      <c r="CEK53" s="760">
        <f t="shared" si="69"/>
        <v>3.5722533832305363E+31</v>
      </c>
      <c r="CEL53" s="760">
        <f t="shared" si="69"/>
        <v>3.6794209847274523E+31</v>
      </c>
      <c r="CEM53" s="760">
        <f t="shared" si="69"/>
        <v>3.7898036142692758E+31</v>
      </c>
      <c r="CEN53" s="760">
        <f t="shared" si="69"/>
        <v>3.9034977226973541E+31</v>
      </c>
      <c r="CEO53" s="760">
        <f t="shared" si="69"/>
        <v>4.0206026543782747E+31</v>
      </c>
      <c r="CEP53" s="760">
        <f t="shared" si="69"/>
        <v>4.1412207340096234E+31</v>
      </c>
      <c r="CEQ53" s="760">
        <f t="shared" si="69"/>
        <v>4.2654573560299119E+31</v>
      </c>
      <c r="CER53" s="760">
        <f t="shared" si="69"/>
        <v>4.3934210767108097E+31</v>
      </c>
      <c r="CES53" s="760">
        <f t="shared" si="69"/>
        <v>4.5252237090121343E+31</v>
      </c>
      <c r="CET53" s="760">
        <f t="shared" si="69"/>
        <v>4.6609804202824987E+31</v>
      </c>
      <c r="CEU53" s="760">
        <f t="shared" si="69"/>
        <v>4.8008098328909736E+31</v>
      </c>
      <c r="CEV53" s="760">
        <f t="shared" si="69"/>
        <v>4.9448341278777025E+31</v>
      </c>
      <c r="CEW53" s="760">
        <f t="shared" si="69"/>
        <v>5.0931791517140341E+31</v>
      </c>
      <c r="CEX53" s="760">
        <f t="shared" si="69"/>
        <v>5.2459745262654549E+31</v>
      </c>
      <c r="CEY53" s="760">
        <f t="shared" ref="CEY53:CHJ53" si="70">+CEX53*$C$53</f>
        <v>5.4033537620534188E+31</v>
      </c>
      <c r="CEZ53" s="760">
        <f t="shared" si="70"/>
        <v>5.5654543749150214E+31</v>
      </c>
      <c r="CFA53" s="760">
        <f t="shared" si="70"/>
        <v>5.7324180061624721E+31</v>
      </c>
      <c r="CFB53" s="760">
        <f t="shared" si="70"/>
        <v>5.904390546347346E+31</v>
      </c>
      <c r="CFC53" s="760">
        <f t="shared" si="70"/>
        <v>6.0815222627377664E+31</v>
      </c>
      <c r="CFD53" s="760">
        <f t="shared" si="70"/>
        <v>6.2639679306198999E+31</v>
      </c>
      <c r="CFE53" s="760">
        <f t="shared" si="70"/>
        <v>6.4518869685384967E+31</v>
      </c>
      <c r="CFF53" s="760">
        <f t="shared" si="70"/>
        <v>6.6454435775946514E+31</v>
      </c>
      <c r="CFG53" s="760">
        <f t="shared" si="70"/>
        <v>6.8448068849224912E+31</v>
      </c>
      <c r="CFH53" s="760">
        <f t="shared" si="70"/>
        <v>7.0501510914701666E+31</v>
      </c>
      <c r="CFI53" s="760">
        <f t="shared" si="70"/>
        <v>7.2616556242142718E+31</v>
      </c>
      <c r="CFJ53" s="760">
        <f t="shared" si="70"/>
        <v>7.4795052929407005E+31</v>
      </c>
      <c r="CFK53" s="760">
        <f t="shared" si="70"/>
        <v>7.7038904517289217E+31</v>
      </c>
      <c r="CFL53" s="760">
        <f t="shared" si="70"/>
        <v>7.9350071652807899E+31</v>
      </c>
      <c r="CFM53" s="760">
        <f t="shared" si="70"/>
        <v>8.1730573802392137E+31</v>
      </c>
      <c r="CFN53" s="760">
        <f t="shared" si="70"/>
        <v>8.41824910164639E+31</v>
      </c>
      <c r="CFO53" s="760">
        <f t="shared" si="70"/>
        <v>8.6707965746957819E+31</v>
      </c>
      <c r="CFP53" s="760">
        <f t="shared" si="70"/>
        <v>8.9309204719366554E+31</v>
      </c>
      <c r="CFQ53" s="760">
        <f t="shared" si="70"/>
        <v>9.1988480860947556E+31</v>
      </c>
      <c r="CFR53" s="760">
        <f t="shared" si="70"/>
        <v>9.4748135286775987E+31</v>
      </c>
      <c r="CFS53" s="760">
        <f t="shared" si="70"/>
        <v>9.7590579345379268E+31</v>
      </c>
      <c r="CFT53" s="760">
        <f t="shared" si="70"/>
        <v>1.0051829672574066E+32</v>
      </c>
      <c r="CFU53" s="760">
        <f t="shared" si="70"/>
        <v>1.0353384562751287E+32</v>
      </c>
      <c r="CFV53" s="760">
        <f t="shared" si="70"/>
        <v>1.0663986099633826E+32</v>
      </c>
      <c r="CFW53" s="760">
        <f t="shared" si="70"/>
        <v>1.0983905682622842E+32</v>
      </c>
      <c r="CFX53" s="760">
        <f t="shared" si="70"/>
        <v>1.1313422853101528E+32</v>
      </c>
      <c r="CFY53" s="760">
        <f t="shared" si="70"/>
        <v>1.1652825538694573E+32</v>
      </c>
      <c r="CFZ53" s="760">
        <f t="shared" si="70"/>
        <v>1.2002410304855411E+32</v>
      </c>
      <c r="CGA53" s="760">
        <f t="shared" si="70"/>
        <v>1.2362482614001074E+32</v>
      </c>
      <c r="CGB53" s="760">
        <f t="shared" si="70"/>
        <v>1.2733357092421107E+32</v>
      </c>
      <c r="CGC53" s="760">
        <f t="shared" si="70"/>
        <v>1.3115357805193739E+32</v>
      </c>
      <c r="CGD53" s="760">
        <f t="shared" si="70"/>
        <v>1.3508818539349551E+32</v>
      </c>
      <c r="CGE53" s="760">
        <f t="shared" si="70"/>
        <v>1.3914083095530038E+32</v>
      </c>
      <c r="CGF53" s="760">
        <f t="shared" si="70"/>
        <v>1.433150558839594E+32</v>
      </c>
      <c r="CGG53" s="760">
        <f t="shared" si="70"/>
        <v>1.4761450756047818E+32</v>
      </c>
      <c r="CGH53" s="760">
        <f t="shared" si="70"/>
        <v>1.5204294278729253E+32</v>
      </c>
      <c r="CGI53" s="760">
        <f t="shared" si="70"/>
        <v>1.5660423107091132E+32</v>
      </c>
      <c r="CGJ53" s="760">
        <f t="shared" si="70"/>
        <v>1.6130235800303865E+32</v>
      </c>
      <c r="CGK53" s="760">
        <f t="shared" si="70"/>
        <v>1.6614142874312983E+32</v>
      </c>
      <c r="CGL53" s="760">
        <f t="shared" si="70"/>
        <v>1.7112567160542373E+32</v>
      </c>
      <c r="CGM53" s="760">
        <f t="shared" si="70"/>
        <v>1.7625944175358646E+32</v>
      </c>
      <c r="CGN53" s="760">
        <f t="shared" si="70"/>
        <v>1.8154722500619404E+32</v>
      </c>
      <c r="CGO53" s="760">
        <f t="shared" si="70"/>
        <v>1.8699364175637988E+32</v>
      </c>
      <c r="CGP53" s="760">
        <f t="shared" si="70"/>
        <v>1.9260345100907128E+32</v>
      </c>
      <c r="CGQ53" s="760">
        <f t="shared" si="70"/>
        <v>1.9838155453934343E+32</v>
      </c>
      <c r="CGR53" s="760">
        <f t="shared" si="70"/>
        <v>2.0433300117552375E+32</v>
      </c>
      <c r="CGS53" s="760">
        <f t="shared" si="70"/>
        <v>2.1046299121078945E+32</v>
      </c>
      <c r="CGT53" s="760">
        <f t="shared" si="70"/>
        <v>2.1677688094711312E+32</v>
      </c>
      <c r="CGU53" s="760">
        <f t="shared" si="70"/>
        <v>2.2328018737552653E+32</v>
      </c>
      <c r="CGV53" s="760">
        <f t="shared" si="70"/>
        <v>2.2997859299679234E+32</v>
      </c>
      <c r="CGW53" s="760">
        <f t="shared" si="70"/>
        <v>2.3687795078669613E+32</v>
      </c>
      <c r="CGX53" s="760">
        <f t="shared" si="70"/>
        <v>2.4398428931029701E+32</v>
      </c>
      <c r="CGY53" s="760">
        <f t="shared" si="70"/>
        <v>2.5130381798960593E+32</v>
      </c>
      <c r="CGZ53" s="760">
        <f t="shared" si="70"/>
        <v>2.5884293252929412E+32</v>
      </c>
      <c r="CHA53" s="760">
        <f t="shared" si="70"/>
        <v>2.6660822050517296E+32</v>
      </c>
      <c r="CHB53" s="760">
        <f t="shared" si="70"/>
        <v>2.7460646712032815E+32</v>
      </c>
      <c r="CHC53" s="760">
        <f t="shared" si="70"/>
        <v>2.8284466113393801E+32</v>
      </c>
      <c r="CHD53" s="760">
        <f t="shared" si="70"/>
        <v>2.9133000096795617E+32</v>
      </c>
      <c r="CHE53" s="760">
        <f t="shared" si="70"/>
        <v>3.0006990099699487E+32</v>
      </c>
      <c r="CHF53" s="760">
        <f t="shared" si="70"/>
        <v>3.0907199802690471E+32</v>
      </c>
      <c r="CHG53" s="760">
        <f t="shared" si="70"/>
        <v>3.1834415796771185E+32</v>
      </c>
      <c r="CHH53" s="760">
        <f t="shared" si="70"/>
        <v>3.278944827067432E+32</v>
      </c>
      <c r="CHI53" s="760">
        <f t="shared" si="70"/>
        <v>3.3773131718794549E+32</v>
      </c>
      <c r="CHJ53" s="760">
        <f t="shared" si="70"/>
        <v>3.4786325670358388E+32</v>
      </c>
      <c r="CHK53" s="760">
        <f t="shared" ref="CHK53:CJV53" si="71">+CHJ53*$C$53</f>
        <v>3.5829915440469141E+32</v>
      </c>
      <c r="CHL53" s="760">
        <f t="shared" si="71"/>
        <v>3.6904812903683218E+32</v>
      </c>
      <c r="CHM53" s="760">
        <f t="shared" si="71"/>
        <v>3.8011957290793717E+32</v>
      </c>
      <c r="CHN53" s="760">
        <f t="shared" si="71"/>
        <v>3.9152316009517527E+32</v>
      </c>
      <c r="CHO53" s="760">
        <f t="shared" si="71"/>
        <v>4.032688548980305E+32</v>
      </c>
      <c r="CHP53" s="760">
        <f t="shared" si="71"/>
        <v>4.1536692054497145E+32</v>
      </c>
      <c r="CHQ53" s="760">
        <f t="shared" si="71"/>
        <v>4.2782792816132058E+32</v>
      </c>
      <c r="CHR53" s="760">
        <f t="shared" si="71"/>
        <v>4.4066276600616021E+32</v>
      </c>
      <c r="CHS53" s="760">
        <f t="shared" si="71"/>
        <v>4.5388264898634505E+32</v>
      </c>
      <c r="CHT53" s="760">
        <f t="shared" si="71"/>
        <v>4.6749912845593541E+32</v>
      </c>
      <c r="CHU53" s="760">
        <f t="shared" si="71"/>
        <v>4.8152410230961348E+32</v>
      </c>
      <c r="CHV53" s="760">
        <f t="shared" si="71"/>
        <v>4.9596982537890191E+32</v>
      </c>
      <c r="CHW53" s="760">
        <f t="shared" si="71"/>
        <v>5.1084892014026898E+32</v>
      </c>
      <c r="CHX53" s="760">
        <f t="shared" si="71"/>
        <v>5.2617438774447704E+32</v>
      </c>
      <c r="CHY53" s="760">
        <f t="shared" si="71"/>
        <v>5.4195961937681134E+32</v>
      </c>
      <c r="CHZ53" s="760">
        <f t="shared" si="71"/>
        <v>5.5821840795811566E+32</v>
      </c>
      <c r="CIA53" s="760">
        <f t="shared" si="71"/>
        <v>5.7496496019685913E+32</v>
      </c>
      <c r="CIB53" s="760">
        <f t="shared" si="71"/>
        <v>5.9221390900276491E+32</v>
      </c>
      <c r="CIC53" s="760">
        <f t="shared" si="71"/>
        <v>6.099803262728479E+32</v>
      </c>
      <c r="CID53" s="760">
        <f t="shared" si="71"/>
        <v>6.2827973606103339E+32</v>
      </c>
      <c r="CIE53" s="760">
        <f t="shared" si="71"/>
        <v>6.471281281428644E+32</v>
      </c>
      <c r="CIF53" s="760">
        <f t="shared" si="71"/>
        <v>6.6654197198715033E+32</v>
      </c>
      <c r="CIG53" s="760">
        <f t="shared" si="71"/>
        <v>6.8653823114676481E+32</v>
      </c>
      <c r="CIH53" s="760">
        <f t="shared" si="71"/>
        <v>7.0713437808116773E+32</v>
      </c>
      <c r="CII53" s="760">
        <f t="shared" si="71"/>
        <v>7.2834840942360272E+32</v>
      </c>
      <c r="CIJ53" s="760">
        <f t="shared" si="71"/>
        <v>7.5019886170631082E+32</v>
      </c>
      <c r="CIK53" s="760">
        <f t="shared" si="71"/>
        <v>7.7270482755750016E+32</v>
      </c>
      <c r="CIL53" s="760">
        <f t="shared" si="71"/>
        <v>7.9588597238422521E+32</v>
      </c>
      <c r="CIM53" s="760">
        <f t="shared" si="71"/>
        <v>8.1976255155575192E+32</v>
      </c>
      <c r="CIN53" s="760">
        <f t="shared" si="71"/>
        <v>8.4435542810242444E+32</v>
      </c>
      <c r="CIO53" s="760">
        <f t="shared" si="71"/>
        <v>8.6968609094549721E+32</v>
      </c>
      <c r="CIP53" s="760">
        <f t="shared" si="71"/>
        <v>8.9577667367386219E+32</v>
      </c>
      <c r="CIQ53" s="760">
        <f t="shared" si="71"/>
        <v>9.226499738840781E+32</v>
      </c>
      <c r="CIR53" s="760">
        <f t="shared" si="71"/>
        <v>9.5032947310060047E+32</v>
      </c>
      <c r="CIS53" s="760">
        <f t="shared" si="71"/>
        <v>9.7883935729361852E+32</v>
      </c>
      <c r="CIT53" s="760">
        <f t="shared" si="71"/>
        <v>1.0082045380124271E+33</v>
      </c>
      <c r="CIU53" s="760">
        <f t="shared" si="71"/>
        <v>1.0384506741527999E+33</v>
      </c>
      <c r="CIV53" s="760">
        <f t="shared" si="71"/>
        <v>1.069604194377384E+33</v>
      </c>
      <c r="CIW53" s="760">
        <f t="shared" si="71"/>
        <v>1.1016923202087055E+33</v>
      </c>
      <c r="CIX53" s="760">
        <f t="shared" si="71"/>
        <v>1.1347430898149667E+33</v>
      </c>
      <c r="CIY53" s="760">
        <f t="shared" si="71"/>
        <v>1.1687853825094157E+33</v>
      </c>
      <c r="CIZ53" s="760">
        <f t="shared" si="71"/>
        <v>1.2038489439846982E+33</v>
      </c>
      <c r="CJA53" s="760">
        <f t="shared" si="71"/>
        <v>1.2399644123042393E+33</v>
      </c>
      <c r="CJB53" s="760">
        <f t="shared" si="71"/>
        <v>1.2771633446733665E+33</v>
      </c>
      <c r="CJC53" s="760">
        <f t="shared" si="71"/>
        <v>1.3154782450135674E+33</v>
      </c>
      <c r="CJD53" s="760">
        <f t="shared" si="71"/>
        <v>1.3549425923639743E+33</v>
      </c>
      <c r="CJE53" s="760">
        <f t="shared" si="71"/>
        <v>1.3955908701348937E+33</v>
      </c>
      <c r="CJF53" s="760">
        <f t="shared" si="71"/>
        <v>1.4374585962389405E+33</v>
      </c>
      <c r="CJG53" s="760">
        <f t="shared" si="71"/>
        <v>1.4805823541261089E+33</v>
      </c>
      <c r="CJH53" s="760">
        <f t="shared" si="71"/>
        <v>1.5249998247498921E+33</v>
      </c>
      <c r="CJI53" s="760">
        <f t="shared" si="71"/>
        <v>1.5707498194923888E+33</v>
      </c>
      <c r="CJJ53" s="760">
        <f t="shared" si="71"/>
        <v>1.6178723140771605E+33</v>
      </c>
      <c r="CJK53" s="760">
        <f t="shared" si="71"/>
        <v>1.6664084834994753E+33</v>
      </c>
      <c r="CJL53" s="760">
        <f t="shared" si="71"/>
        <v>1.7164007380044595E+33</v>
      </c>
      <c r="CJM53" s="760">
        <f t="shared" si="71"/>
        <v>1.7678927601445933E+33</v>
      </c>
      <c r="CJN53" s="760">
        <f t="shared" si="71"/>
        <v>1.8209295429489312E+33</v>
      </c>
      <c r="CJO53" s="760">
        <f t="shared" si="71"/>
        <v>1.8755574292373992E+33</v>
      </c>
      <c r="CJP53" s="760">
        <f t="shared" si="71"/>
        <v>1.9318241521145213E+33</v>
      </c>
      <c r="CJQ53" s="760">
        <f t="shared" si="71"/>
        <v>1.9897788766779569E+33</v>
      </c>
      <c r="CJR53" s="760">
        <f t="shared" si="71"/>
        <v>2.0494722429782957E+33</v>
      </c>
      <c r="CJS53" s="760">
        <f t="shared" si="71"/>
        <v>2.1109564102676447E+33</v>
      </c>
      <c r="CJT53" s="760">
        <f t="shared" si="71"/>
        <v>2.1742851025756741E+33</v>
      </c>
      <c r="CJU53" s="760">
        <f t="shared" si="71"/>
        <v>2.2395136556529444E+33</v>
      </c>
      <c r="CJV53" s="760">
        <f t="shared" si="71"/>
        <v>2.3066990653225327E+33</v>
      </c>
      <c r="CJW53" s="760">
        <f t="shared" ref="CJW53:CMH53" si="72">+CJV53*$C$53</f>
        <v>2.3759000372822089E+33</v>
      </c>
      <c r="CJX53" s="760">
        <f t="shared" si="72"/>
        <v>2.4471770384006751E+33</v>
      </c>
      <c r="CJY53" s="760">
        <f t="shared" si="72"/>
        <v>2.5205923495526954E+33</v>
      </c>
      <c r="CJZ53" s="760">
        <f t="shared" si="72"/>
        <v>2.5962101200392763E+33</v>
      </c>
      <c r="CKA53" s="760">
        <f t="shared" si="72"/>
        <v>2.6740964236404547E+33</v>
      </c>
      <c r="CKB53" s="760">
        <f t="shared" si="72"/>
        <v>2.7543193163496686E+33</v>
      </c>
      <c r="CKC53" s="760">
        <f t="shared" si="72"/>
        <v>2.8369488958401587E+33</v>
      </c>
      <c r="CKD53" s="760">
        <f t="shared" si="72"/>
        <v>2.9220573627153634E+33</v>
      </c>
      <c r="CKE53" s="760">
        <f t="shared" si="72"/>
        <v>3.0097190835968246E+33</v>
      </c>
      <c r="CKF53" s="760">
        <f t="shared" si="72"/>
        <v>3.1000106561047297E+33</v>
      </c>
      <c r="CKG53" s="760">
        <f t="shared" si="72"/>
        <v>3.1930109757878715E+33</v>
      </c>
      <c r="CKH53" s="760">
        <f t="shared" si="72"/>
        <v>3.2888013050615076E+33</v>
      </c>
      <c r="CKI53" s="760">
        <f t="shared" si="72"/>
        <v>3.387465344213353E+33</v>
      </c>
      <c r="CKJ53" s="760">
        <f t="shared" si="72"/>
        <v>3.4890893045397537E+33</v>
      </c>
      <c r="CKK53" s="760">
        <f t="shared" si="72"/>
        <v>3.5937619836759463E+33</v>
      </c>
      <c r="CKL53" s="760">
        <f t="shared" si="72"/>
        <v>3.7015748431862245E+33</v>
      </c>
      <c r="CKM53" s="760">
        <f t="shared" si="72"/>
        <v>3.8126220884818116E+33</v>
      </c>
      <c r="CKN53" s="760">
        <f t="shared" si="72"/>
        <v>3.9270007511362661E+33</v>
      </c>
      <c r="CKO53" s="760">
        <f t="shared" si="72"/>
        <v>4.0448107736703541E+33</v>
      </c>
      <c r="CKP53" s="760">
        <f t="shared" si="72"/>
        <v>4.1661550968804646E+33</v>
      </c>
      <c r="CKQ53" s="760">
        <f t="shared" si="72"/>
        <v>4.2911397497868784E+33</v>
      </c>
      <c r="CKR53" s="760">
        <f t="shared" si="72"/>
        <v>4.4198739422804847E+33</v>
      </c>
      <c r="CKS53" s="760">
        <f t="shared" si="72"/>
        <v>4.5524701605488995E+33</v>
      </c>
      <c r="CKT53" s="760">
        <f t="shared" si="72"/>
        <v>4.6890442653653668E+33</v>
      </c>
      <c r="CKU53" s="760">
        <f t="shared" si="72"/>
        <v>4.829715593326328E+33</v>
      </c>
      <c r="CKV53" s="760">
        <f t="shared" si="72"/>
        <v>4.9746070611261178E+33</v>
      </c>
      <c r="CKW53" s="760">
        <f t="shared" si="72"/>
        <v>5.1238452729599013E+33</v>
      </c>
      <c r="CKX53" s="760">
        <f t="shared" si="72"/>
        <v>5.2775606311486984E+33</v>
      </c>
      <c r="CKY53" s="760">
        <f t="shared" si="72"/>
        <v>5.435887450083159E+33</v>
      </c>
      <c r="CKZ53" s="760">
        <f t="shared" si="72"/>
        <v>5.5989640735856544E+33</v>
      </c>
      <c r="CLA53" s="760">
        <f t="shared" si="72"/>
        <v>5.7669329957932246E+33</v>
      </c>
      <c r="CLB53" s="760">
        <f t="shared" si="72"/>
        <v>5.9399409856670219E+33</v>
      </c>
      <c r="CLC53" s="760">
        <f t="shared" si="72"/>
        <v>6.1181392152370326E+33</v>
      </c>
      <c r="CLD53" s="760">
        <f t="shared" si="72"/>
        <v>6.3016833916941436E+33</v>
      </c>
      <c r="CLE53" s="760">
        <f t="shared" si="72"/>
        <v>6.4907338934449683E+33</v>
      </c>
      <c r="CLF53" s="760">
        <f t="shared" si="72"/>
        <v>6.6854559102483174E+33</v>
      </c>
      <c r="CLG53" s="760">
        <f t="shared" si="72"/>
        <v>6.8860195875557672E+33</v>
      </c>
      <c r="CLH53" s="760">
        <f t="shared" si="72"/>
        <v>7.0926001751824404E+33</v>
      </c>
      <c r="CLI53" s="760">
        <f t="shared" si="72"/>
        <v>7.3053781804379138E+33</v>
      </c>
      <c r="CLJ53" s="760">
        <f t="shared" si="72"/>
        <v>7.5245395258510515E+33</v>
      </c>
      <c r="CLK53" s="760">
        <f t="shared" si="72"/>
        <v>7.7502757116265828E+33</v>
      </c>
      <c r="CLL53" s="760">
        <f t="shared" si="72"/>
        <v>7.98278398297538E+33</v>
      </c>
      <c r="CLM53" s="760">
        <f t="shared" si="72"/>
        <v>8.222267502464642E+33</v>
      </c>
      <c r="CLN53" s="760">
        <f t="shared" si="72"/>
        <v>8.4689355275385812E+33</v>
      </c>
      <c r="CLO53" s="760">
        <f t="shared" si="72"/>
        <v>8.7230035933647386E+33</v>
      </c>
      <c r="CLP53" s="760">
        <f t="shared" si="72"/>
        <v>8.9846937011656809E+33</v>
      </c>
      <c r="CLQ53" s="760">
        <f t="shared" si="72"/>
        <v>9.2542345122006515E+33</v>
      </c>
      <c r="CLR53" s="760">
        <f t="shared" si="72"/>
        <v>9.5318615475666714E+33</v>
      </c>
      <c r="CLS53" s="760">
        <f t="shared" si="72"/>
        <v>9.8178173939936717E+33</v>
      </c>
      <c r="CLT53" s="760">
        <f t="shared" si="72"/>
        <v>1.0112351915813482E+34</v>
      </c>
      <c r="CLU53" s="760">
        <f t="shared" si="72"/>
        <v>1.0415722473287886E+34</v>
      </c>
      <c r="CLV53" s="760">
        <f t="shared" si="72"/>
        <v>1.0728194147486523E+34</v>
      </c>
      <c r="CLW53" s="760">
        <f t="shared" si="72"/>
        <v>1.1050039971911119E+34</v>
      </c>
      <c r="CLX53" s="760">
        <f t="shared" si="72"/>
        <v>1.1381541171068452E+34</v>
      </c>
      <c r="CLY53" s="760">
        <f t="shared" si="72"/>
        <v>1.1722987406200506E+34</v>
      </c>
      <c r="CLZ53" s="760">
        <f t="shared" si="72"/>
        <v>1.2074677028386522E+34</v>
      </c>
      <c r="CMA53" s="760">
        <f t="shared" si="72"/>
        <v>1.2436917339238119E+34</v>
      </c>
      <c r="CMB53" s="760">
        <f t="shared" si="72"/>
        <v>1.2810024859415261E+34</v>
      </c>
      <c r="CMC53" s="760">
        <f t="shared" si="72"/>
        <v>1.3194325605197719E+34</v>
      </c>
      <c r="CMD53" s="760">
        <f t="shared" si="72"/>
        <v>1.3590155373353651E+34</v>
      </c>
      <c r="CME53" s="760">
        <f t="shared" si="72"/>
        <v>1.3997860034554261E+34</v>
      </c>
      <c r="CMF53" s="760">
        <f t="shared" si="72"/>
        <v>1.4417795835590888E+34</v>
      </c>
      <c r="CMG53" s="760">
        <f t="shared" si="72"/>
        <v>1.4850329710658615E+34</v>
      </c>
      <c r="CMH53" s="760">
        <f t="shared" si="72"/>
        <v>1.5295839601978373E+34</v>
      </c>
      <c r="CMI53" s="760">
        <f t="shared" ref="CMI53:COT53" si="73">+CMH53*$C$53</f>
        <v>1.5754714790037723E+34</v>
      </c>
      <c r="CMJ53" s="760">
        <f t="shared" si="73"/>
        <v>1.6227356233738855E+34</v>
      </c>
      <c r="CMK53" s="760">
        <f t="shared" si="73"/>
        <v>1.6714176920751023E+34</v>
      </c>
      <c r="CML53" s="760">
        <f t="shared" si="73"/>
        <v>1.7215602228373553E+34</v>
      </c>
      <c r="CMM53" s="760">
        <f t="shared" si="73"/>
        <v>1.773207029522476E+34</v>
      </c>
      <c r="CMN53" s="760">
        <f t="shared" si="73"/>
        <v>1.8264032404081504E+34</v>
      </c>
      <c r="CMO53" s="760">
        <f t="shared" si="73"/>
        <v>1.881195337620395E+34</v>
      </c>
      <c r="CMP53" s="760">
        <f t="shared" si="73"/>
        <v>1.9376311977490068E+34</v>
      </c>
      <c r="CMQ53" s="760">
        <f t="shared" si="73"/>
        <v>1.9957601336814771E+34</v>
      </c>
      <c r="CMR53" s="760">
        <f t="shared" si="73"/>
        <v>2.0556329376919214E+34</v>
      </c>
      <c r="CMS53" s="760">
        <f t="shared" si="73"/>
        <v>2.1173019258226791E+34</v>
      </c>
      <c r="CMT53" s="760">
        <f t="shared" si="73"/>
        <v>2.1808209835973597E+34</v>
      </c>
      <c r="CMU53" s="760">
        <f t="shared" si="73"/>
        <v>2.2462456131052805E+34</v>
      </c>
      <c r="CMV53" s="760">
        <f t="shared" si="73"/>
        <v>2.313632981498439E+34</v>
      </c>
      <c r="CMW53" s="760">
        <f t="shared" si="73"/>
        <v>2.3830419709433921E+34</v>
      </c>
      <c r="CMX53" s="760">
        <f t="shared" si="73"/>
        <v>2.4545332300716939E+34</v>
      </c>
      <c r="CMY53" s="760">
        <f t="shared" si="73"/>
        <v>2.5281692269738449E+34</v>
      </c>
      <c r="CMZ53" s="760">
        <f t="shared" si="73"/>
        <v>2.6040143037830605E+34</v>
      </c>
      <c r="CNA53" s="760">
        <f t="shared" si="73"/>
        <v>2.6821347328965526E+34</v>
      </c>
      <c r="CNB53" s="760">
        <f t="shared" si="73"/>
        <v>2.7625987748834491E+34</v>
      </c>
      <c r="CNC53" s="760">
        <f t="shared" si="73"/>
        <v>2.8454767381299527E+34</v>
      </c>
      <c r="CND53" s="760">
        <f t="shared" si="73"/>
        <v>2.9308410402738514E+34</v>
      </c>
      <c r="CNE53" s="760">
        <f t="shared" si="73"/>
        <v>3.0187662714820669E+34</v>
      </c>
      <c r="CNF53" s="760">
        <f t="shared" si="73"/>
        <v>3.1093292596265292E+34</v>
      </c>
      <c r="CNG53" s="760">
        <f t="shared" si="73"/>
        <v>3.2026091374153252E+34</v>
      </c>
      <c r="CNH53" s="760">
        <f t="shared" si="73"/>
        <v>3.2986874115377853E+34</v>
      </c>
      <c r="CNI53" s="760">
        <f t="shared" si="73"/>
        <v>3.3976480338839188E+34</v>
      </c>
      <c r="CNJ53" s="760">
        <f t="shared" si="73"/>
        <v>3.4995774749004364E+34</v>
      </c>
      <c r="CNK53" s="760">
        <f t="shared" si="73"/>
        <v>3.6045647991474498E+34</v>
      </c>
      <c r="CNL53" s="760">
        <f t="shared" si="73"/>
        <v>3.7127017431218735E+34</v>
      </c>
      <c r="CNM53" s="760">
        <f t="shared" si="73"/>
        <v>3.8240827954155296E+34</v>
      </c>
      <c r="CNN53" s="760">
        <f t="shared" si="73"/>
        <v>3.9388052792779957E+34</v>
      </c>
      <c r="CNO53" s="760">
        <f t="shared" si="73"/>
        <v>4.0569694376563358E+34</v>
      </c>
      <c r="CNP53" s="760">
        <f t="shared" si="73"/>
        <v>4.1786785207860256E+34</v>
      </c>
      <c r="CNQ53" s="760">
        <f t="shared" si="73"/>
        <v>4.3040388764096066E+34</v>
      </c>
      <c r="CNR53" s="760">
        <f t="shared" si="73"/>
        <v>4.4331600427018948E+34</v>
      </c>
      <c r="CNS53" s="760">
        <f t="shared" si="73"/>
        <v>4.5661548439829519E+34</v>
      </c>
      <c r="CNT53" s="760">
        <f t="shared" si="73"/>
        <v>4.7031394893024407E+34</v>
      </c>
      <c r="CNU53" s="760">
        <f t="shared" si="73"/>
        <v>4.8442336739815137E+34</v>
      </c>
      <c r="CNV53" s="760">
        <f t="shared" si="73"/>
        <v>4.9895606842009593E+34</v>
      </c>
      <c r="CNW53" s="760">
        <f t="shared" si="73"/>
        <v>5.1392475047269879E+34</v>
      </c>
      <c r="CNX53" s="760">
        <f t="shared" si="73"/>
        <v>5.2934249298687973E+34</v>
      </c>
      <c r="CNY53" s="760">
        <f t="shared" si="73"/>
        <v>5.4522276777648618E+34</v>
      </c>
      <c r="CNZ53" s="760">
        <f t="shared" si="73"/>
        <v>5.6157945080978079E+34</v>
      </c>
      <c r="COA53" s="760">
        <f t="shared" si="73"/>
        <v>5.7842683433407419E+34</v>
      </c>
      <c r="COB53" s="760">
        <f t="shared" si="73"/>
        <v>5.9577963936409643E+34</v>
      </c>
      <c r="COC53" s="760">
        <f t="shared" si="73"/>
        <v>6.1365302854501931E+34</v>
      </c>
      <c r="COD53" s="760">
        <f t="shared" si="73"/>
        <v>6.3206261940136991E+34</v>
      </c>
      <c r="COE53" s="760">
        <f t="shared" si="73"/>
        <v>6.5102449798341099E+34</v>
      </c>
      <c r="COF53" s="760">
        <f t="shared" si="73"/>
        <v>6.7055523292291335E+34</v>
      </c>
      <c r="COG53" s="760">
        <f t="shared" si="73"/>
        <v>6.9067188991060076E+34</v>
      </c>
      <c r="COH53" s="760">
        <f t="shared" si="73"/>
        <v>7.1139204660791881E+34</v>
      </c>
      <c r="COI53" s="760">
        <f t="shared" si="73"/>
        <v>7.3273380800615643E+34</v>
      </c>
      <c r="COJ53" s="760">
        <f t="shared" si="73"/>
        <v>7.5471582224634118E+34</v>
      </c>
      <c r="COK53" s="760">
        <f t="shared" si="73"/>
        <v>7.773572969137314E+34</v>
      </c>
      <c r="COL53" s="760">
        <f t="shared" si="73"/>
        <v>8.0067801582114334E+34</v>
      </c>
      <c r="COM53" s="760">
        <f t="shared" si="73"/>
        <v>8.2469835629577764E+34</v>
      </c>
      <c r="CON53" s="760">
        <f t="shared" si="73"/>
        <v>8.4943930698465106E+34</v>
      </c>
      <c r="COO53" s="760">
        <f t="shared" si="73"/>
        <v>8.7492248619419059E+34</v>
      </c>
      <c r="COP53" s="760">
        <f t="shared" si="73"/>
        <v>9.011701607800163E+34</v>
      </c>
      <c r="COQ53" s="760">
        <f t="shared" si="73"/>
        <v>9.2820526560341684E+34</v>
      </c>
      <c r="COR53" s="760">
        <f t="shared" si="73"/>
        <v>9.5605142357151946E+34</v>
      </c>
      <c r="COS53" s="760">
        <f t="shared" si="73"/>
        <v>9.8473296627866503E+34</v>
      </c>
      <c r="COT53" s="760">
        <f t="shared" si="73"/>
        <v>1.0142749552670251E+35</v>
      </c>
      <c r="COU53" s="760">
        <f t="shared" ref="COU53:CRF53" si="74">+COT53*$C$53</f>
        <v>1.0447032039250358E+35</v>
      </c>
      <c r="COV53" s="760">
        <f t="shared" si="74"/>
        <v>1.076044300042787E+35</v>
      </c>
      <c r="COW53" s="760">
        <f t="shared" si="74"/>
        <v>1.1083256290440706E+35</v>
      </c>
      <c r="COX53" s="760">
        <f t="shared" si="74"/>
        <v>1.1415753979153927E+35</v>
      </c>
      <c r="COY53" s="760">
        <f t="shared" si="74"/>
        <v>1.1758226598528545E+35</v>
      </c>
      <c r="COZ53" s="760">
        <f t="shared" si="74"/>
        <v>1.2110973396484403E+35</v>
      </c>
      <c r="CPA53" s="760">
        <f t="shared" si="74"/>
        <v>1.2474302598378935E+35</v>
      </c>
      <c r="CPB53" s="760">
        <f t="shared" si="74"/>
        <v>1.2848531676330302E+35</v>
      </c>
      <c r="CPC53" s="760">
        <f t="shared" si="74"/>
        <v>1.3233987626620212E+35</v>
      </c>
      <c r="CPD53" s="760">
        <f t="shared" si="74"/>
        <v>1.3631007255418818E+35</v>
      </c>
      <c r="CPE53" s="760">
        <f t="shared" si="74"/>
        <v>1.4039937473081384E+35</v>
      </c>
      <c r="CPF53" s="760">
        <f t="shared" si="74"/>
        <v>1.4461135597273825E+35</v>
      </c>
      <c r="CPG53" s="760">
        <f t="shared" si="74"/>
        <v>1.489496966519204E+35</v>
      </c>
      <c r="CPH53" s="760">
        <f t="shared" si="74"/>
        <v>1.5341818755147802E+35</v>
      </c>
      <c r="CPI53" s="760">
        <f t="shared" si="74"/>
        <v>1.5802073317802237E+35</v>
      </c>
      <c r="CPJ53" s="760">
        <f t="shared" si="74"/>
        <v>1.6276135517336304E+35</v>
      </c>
      <c r="CPK53" s="760">
        <f t="shared" si="74"/>
        <v>1.6764419582856394E+35</v>
      </c>
      <c r="CPL53" s="760">
        <f t="shared" si="74"/>
        <v>1.7267352170342086E+35</v>
      </c>
      <c r="CPM53" s="760">
        <f t="shared" si="74"/>
        <v>1.7785372735452349E+35</v>
      </c>
      <c r="CPN53" s="760">
        <f t="shared" si="74"/>
        <v>1.8318933917515919E+35</v>
      </c>
      <c r="CPO53" s="760">
        <f t="shared" si="74"/>
        <v>1.8868501935041398E+35</v>
      </c>
      <c r="CPP53" s="760">
        <f t="shared" si="74"/>
        <v>1.9434556993092639E+35</v>
      </c>
      <c r="CPQ53" s="760">
        <f t="shared" si="74"/>
        <v>2.0017593702885419E+35</v>
      </c>
      <c r="CPR53" s="760">
        <f t="shared" si="74"/>
        <v>2.0618121513971981E+35</v>
      </c>
      <c r="CPS53" s="760">
        <f t="shared" si="74"/>
        <v>2.1236665159391141E+35</v>
      </c>
      <c r="CPT53" s="760">
        <f t="shared" si="74"/>
        <v>2.1873765114172874E+35</v>
      </c>
      <c r="CPU53" s="760">
        <f t="shared" si="74"/>
        <v>2.252997806759806E+35</v>
      </c>
      <c r="CPV53" s="760">
        <f t="shared" si="74"/>
        <v>2.3205877409626004E+35</v>
      </c>
      <c r="CPW53" s="760">
        <f t="shared" si="74"/>
        <v>2.3902053731914784E+35</v>
      </c>
      <c r="CPX53" s="760">
        <f t="shared" si="74"/>
        <v>2.461911534387223E+35</v>
      </c>
      <c r="CPY53" s="760">
        <f t="shared" si="74"/>
        <v>2.5357688804188396E+35</v>
      </c>
      <c r="CPZ53" s="760">
        <f t="shared" si="74"/>
        <v>2.6118419468314048E+35</v>
      </c>
      <c r="CQA53" s="760">
        <f t="shared" si="74"/>
        <v>2.6901972052363471E+35</v>
      </c>
      <c r="CQB53" s="760">
        <f t="shared" si="74"/>
        <v>2.7709031213934375E+35</v>
      </c>
      <c r="CQC53" s="760">
        <f t="shared" si="74"/>
        <v>2.8540302150352406E+35</v>
      </c>
      <c r="CQD53" s="760">
        <f t="shared" si="74"/>
        <v>2.9396511214862978E+35</v>
      </c>
      <c r="CQE53" s="760">
        <f t="shared" si="74"/>
        <v>3.0278406551308867E+35</v>
      </c>
      <c r="CQF53" s="760">
        <f t="shared" si="74"/>
        <v>3.1186758747848133E+35</v>
      </c>
      <c r="CQG53" s="760">
        <f t="shared" si="74"/>
        <v>3.2122361510283577E+35</v>
      </c>
      <c r="CQH53" s="760">
        <f t="shared" si="74"/>
        <v>3.3086032355592087E+35</v>
      </c>
      <c r="CQI53" s="760">
        <f t="shared" si="74"/>
        <v>3.407861332625985E+35</v>
      </c>
      <c r="CQJ53" s="760">
        <f t="shared" si="74"/>
        <v>3.510097172604765E+35</v>
      </c>
      <c r="CQK53" s="760">
        <f t="shared" si="74"/>
        <v>3.6154000877829077E+35</v>
      </c>
      <c r="CQL53" s="760">
        <f t="shared" si="74"/>
        <v>3.7238620904163948E+35</v>
      </c>
      <c r="CQM53" s="760">
        <f t="shared" si="74"/>
        <v>3.8355779531288866E+35</v>
      </c>
      <c r="CQN53" s="760">
        <f t="shared" si="74"/>
        <v>3.9506452917227532E+35</v>
      </c>
      <c r="CQO53" s="760">
        <f t="shared" si="74"/>
        <v>4.0691646504744358E+35</v>
      </c>
      <c r="CQP53" s="760">
        <f t="shared" si="74"/>
        <v>4.1912395899886688E+35</v>
      </c>
      <c r="CQQ53" s="760">
        <f t="shared" si="74"/>
        <v>4.3169767776883294E+35</v>
      </c>
      <c r="CQR53" s="760">
        <f t="shared" si="74"/>
        <v>4.4464860810189796E+35</v>
      </c>
      <c r="CQS53" s="760">
        <f t="shared" si="74"/>
        <v>4.579880663449549E+35</v>
      </c>
      <c r="CQT53" s="760">
        <f t="shared" si="74"/>
        <v>4.7172770833530352E+35</v>
      </c>
      <c r="CQU53" s="760">
        <f t="shared" si="74"/>
        <v>4.8587953958536262E+35</v>
      </c>
      <c r="CQV53" s="760">
        <f t="shared" si="74"/>
        <v>5.0045592577292349E+35</v>
      </c>
      <c r="CQW53" s="760">
        <f t="shared" si="74"/>
        <v>5.154696035461112E+35</v>
      </c>
      <c r="CQX53" s="760">
        <f t="shared" si="74"/>
        <v>5.3093369165249455E+35</v>
      </c>
      <c r="CQY53" s="760">
        <f t="shared" si="74"/>
        <v>5.468617024020694E+35</v>
      </c>
      <c r="CQZ53" s="760">
        <f t="shared" si="74"/>
        <v>5.6326755347413149E+35</v>
      </c>
      <c r="CRA53" s="760">
        <f t="shared" si="74"/>
        <v>5.8016558007835542E+35</v>
      </c>
      <c r="CRB53" s="760">
        <f t="shared" si="74"/>
        <v>5.9757054748070611E+35</v>
      </c>
      <c r="CRC53" s="760">
        <f t="shared" si="74"/>
        <v>6.1549766390512728E+35</v>
      </c>
      <c r="CRD53" s="760">
        <f t="shared" si="74"/>
        <v>6.3396259382228114E+35</v>
      </c>
      <c r="CRE53" s="760">
        <f t="shared" si="74"/>
        <v>6.5298147163694961E+35</v>
      </c>
      <c r="CRF53" s="760">
        <f t="shared" si="74"/>
        <v>6.725709157860581E+35</v>
      </c>
      <c r="CRG53" s="760">
        <f t="shared" ref="CRG53:CTR53" si="75">+CRF53*$C$53</f>
        <v>6.927480432596398E+35</v>
      </c>
      <c r="CRH53" s="760">
        <f t="shared" si="75"/>
        <v>7.13530484557429E+35</v>
      </c>
      <c r="CRI53" s="760">
        <f t="shared" si="75"/>
        <v>7.3493639909415182E+35</v>
      </c>
      <c r="CRJ53" s="760">
        <f t="shared" si="75"/>
        <v>7.5698449106697642E+35</v>
      </c>
      <c r="CRK53" s="760">
        <f t="shared" si="75"/>
        <v>7.7969402579898574E+35</v>
      </c>
      <c r="CRL53" s="760">
        <f t="shared" si="75"/>
        <v>8.0308484657295539E+35</v>
      </c>
      <c r="CRM53" s="760">
        <f t="shared" si="75"/>
        <v>8.2717739197014406E+35</v>
      </c>
      <c r="CRN53" s="760">
        <f t="shared" si="75"/>
        <v>8.5199271372924835E+35</v>
      </c>
      <c r="CRO53" s="760">
        <f t="shared" si="75"/>
        <v>8.7755249514112581E+35</v>
      </c>
      <c r="CRP53" s="760">
        <f t="shared" si="75"/>
        <v>9.0387906999535963E+35</v>
      </c>
      <c r="CRQ53" s="760">
        <f t="shared" si="75"/>
        <v>9.3099544209522043E+35</v>
      </c>
      <c r="CRR53" s="760">
        <f t="shared" si="75"/>
        <v>9.5892530535807714E+35</v>
      </c>
      <c r="CRS53" s="760">
        <f t="shared" si="75"/>
        <v>9.876930645188195E+35</v>
      </c>
      <c r="CRT53" s="760">
        <f t="shared" si="75"/>
        <v>1.0173238564543841E+36</v>
      </c>
      <c r="CRU53" s="760">
        <f t="shared" si="75"/>
        <v>1.0478435721480156E+36</v>
      </c>
      <c r="CRV53" s="760">
        <f t="shared" si="75"/>
        <v>1.0792788793124561E+36</v>
      </c>
      <c r="CRW53" s="760">
        <f t="shared" si="75"/>
        <v>1.1116572456918298E+36</v>
      </c>
      <c r="CRX53" s="760">
        <f t="shared" si="75"/>
        <v>1.1450069630625848E+36</v>
      </c>
      <c r="CRY53" s="760">
        <f t="shared" si="75"/>
        <v>1.1793571719544623E+36</v>
      </c>
      <c r="CRZ53" s="760">
        <f t="shared" si="75"/>
        <v>1.2147378871130963E+36</v>
      </c>
      <c r="CSA53" s="760">
        <f t="shared" si="75"/>
        <v>1.2511800237264891E+36</v>
      </c>
      <c r="CSB53" s="760">
        <f t="shared" si="75"/>
        <v>1.2887154244382838E+36</v>
      </c>
      <c r="CSC53" s="760">
        <f t="shared" si="75"/>
        <v>1.3273768871714324E+36</v>
      </c>
      <c r="CSD53" s="760">
        <f t="shared" si="75"/>
        <v>1.3671981937865754E+36</v>
      </c>
      <c r="CSE53" s="760">
        <f t="shared" si="75"/>
        <v>1.4082141396001727E+36</v>
      </c>
      <c r="CSF53" s="760">
        <f t="shared" si="75"/>
        <v>1.450460563788178E+36</v>
      </c>
      <c r="CSG53" s="760">
        <f t="shared" si="75"/>
        <v>1.4939743807018233E+36</v>
      </c>
      <c r="CSH53" s="760">
        <f t="shared" si="75"/>
        <v>1.538793612122878E+36</v>
      </c>
      <c r="CSI53" s="760">
        <f t="shared" si="75"/>
        <v>1.5849574204865644E+36</v>
      </c>
      <c r="CSJ53" s="760">
        <f t="shared" si="75"/>
        <v>1.6325061431011613E+36</v>
      </c>
      <c r="CSK53" s="760">
        <f t="shared" si="75"/>
        <v>1.6814813273941961E+36</v>
      </c>
      <c r="CSL53" s="760">
        <f t="shared" si="75"/>
        <v>1.7319257672160221E+36</v>
      </c>
      <c r="CSM53" s="760">
        <f t="shared" si="75"/>
        <v>1.7838835402325027E+36</v>
      </c>
      <c r="CSN53" s="760">
        <f t="shared" si="75"/>
        <v>1.8374000464394779E+36</v>
      </c>
      <c r="CSO53" s="760">
        <f t="shared" si="75"/>
        <v>1.8925220478326621E+36</v>
      </c>
      <c r="CSP53" s="760">
        <f t="shared" si="75"/>
        <v>1.9492977092676419E+36</v>
      </c>
      <c r="CSQ53" s="760">
        <f t="shared" si="75"/>
        <v>2.0077766405456711E+36</v>
      </c>
      <c r="CSR53" s="760">
        <f t="shared" si="75"/>
        <v>2.0680099397620414E+36</v>
      </c>
      <c r="CSS53" s="760">
        <f t="shared" si="75"/>
        <v>2.1300502379549027E+36</v>
      </c>
      <c r="CST53" s="760">
        <f t="shared" si="75"/>
        <v>2.1939517450935499E+36</v>
      </c>
      <c r="CSU53" s="760">
        <f t="shared" si="75"/>
        <v>2.2597702974463565E+36</v>
      </c>
      <c r="CSV53" s="760">
        <f t="shared" si="75"/>
        <v>2.3275634063697473E+36</v>
      </c>
      <c r="CSW53" s="760">
        <f t="shared" si="75"/>
        <v>2.3973903085608396E+36</v>
      </c>
      <c r="CSX53" s="760">
        <f t="shared" si="75"/>
        <v>2.4693120178176648E+36</v>
      </c>
      <c r="CSY53" s="760">
        <f t="shared" si="75"/>
        <v>2.5433913783521947E+36</v>
      </c>
      <c r="CSZ53" s="760">
        <f t="shared" si="75"/>
        <v>2.6196931197027607E+36</v>
      </c>
      <c r="CTA53" s="760">
        <f t="shared" si="75"/>
        <v>2.6982839132938438E+36</v>
      </c>
      <c r="CTB53" s="760">
        <f t="shared" si="75"/>
        <v>2.7792324306926591E+36</v>
      </c>
      <c r="CTC53" s="760">
        <f t="shared" si="75"/>
        <v>2.8626094036134387E+36</v>
      </c>
      <c r="CTD53" s="760">
        <f t="shared" si="75"/>
        <v>2.9484876857218419E+36</v>
      </c>
      <c r="CTE53" s="760">
        <f t="shared" si="75"/>
        <v>3.0369423162934972E+36</v>
      </c>
      <c r="CTF53" s="760">
        <f t="shared" si="75"/>
        <v>3.1280505857823021E+36</v>
      </c>
      <c r="CTG53" s="760">
        <f t="shared" si="75"/>
        <v>3.2218921033557715E+36</v>
      </c>
      <c r="CTH53" s="760">
        <f t="shared" si="75"/>
        <v>3.3185488664564448E+36</v>
      </c>
      <c r="CTI53" s="760">
        <f t="shared" si="75"/>
        <v>3.418105332450138E+36</v>
      </c>
      <c r="CTJ53" s="760">
        <f t="shared" si="75"/>
        <v>3.5206484924236423E+36</v>
      </c>
      <c r="CTK53" s="760">
        <f t="shared" si="75"/>
        <v>3.6262679471963519E+36</v>
      </c>
      <c r="CTL53" s="760">
        <f t="shared" si="75"/>
        <v>3.7350559856122427E+36</v>
      </c>
      <c r="CTM53" s="760">
        <f t="shared" si="75"/>
        <v>3.8471076651806098E+36</v>
      </c>
      <c r="CTN53" s="760">
        <f t="shared" si="75"/>
        <v>3.9625208951360284E+36</v>
      </c>
      <c r="CTO53" s="760">
        <f t="shared" si="75"/>
        <v>4.0813965219901092E+36</v>
      </c>
      <c r="CTP53" s="760">
        <f t="shared" si="75"/>
        <v>4.2038384176498125E+36</v>
      </c>
      <c r="CTQ53" s="760">
        <f t="shared" si="75"/>
        <v>4.3299535701793071E+36</v>
      </c>
      <c r="CTR53" s="760">
        <f t="shared" si="75"/>
        <v>4.4598521772846866E+36</v>
      </c>
      <c r="CTS53" s="760">
        <f t="shared" ref="CTS53:CWD53" si="76">+CTR53*$C$53</f>
        <v>4.5936477426032276E+36</v>
      </c>
      <c r="CTT53" s="760">
        <f t="shared" si="76"/>
        <v>4.7314571748813247E+36</v>
      </c>
      <c r="CTU53" s="760">
        <f t="shared" si="76"/>
        <v>4.8734008901277644E+36</v>
      </c>
      <c r="CTV53" s="760">
        <f t="shared" si="76"/>
        <v>5.0196029168315973E+36</v>
      </c>
      <c r="CTW53" s="760">
        <f t="shared" si="76"/>
        <v>5.1701910043365452E+36</v>
      </c>
      <c r="CTX53" s="760">
        <f t="shared" si="76"/>
        <v>5.325296734466642E+36</v>
      </c>
      <c r="CTY53" s="760">
        <f t="shared" si="76"/>
        <v>5.4850556365006419E+36</v>
      </c>
      <c r="CTZ53" s="760">
        <f t="shared" si="76"/>
        <v>5.6496073055956617E+36</v>
      </c>
      <c r="CUA53" s="760">
        <f t="shared" si="76"/>
        <v>5.8190955247635321E+36</v>
      </c>
      <c r="CUB53" s="760">
        <f t="shared" si="76"/>
        <v>5.9936683905064381E+36</v>
      </c>
      <c r="CUC53" s="760">
        <f t="shared" si="76"/>
        <v>6.173478442221631E+36</v>
      </c>
      <c r="CUD53" s="760">
        <f t="shared" si="76"/>
        <v>6.3586827954882796E+36</v>
      </c>
      <c r="CUE53" s="760">
        <f t="shared" si="76"/>
        <v>6.5494432793529286E+36</v>
      </c>
      <c r="CUF53" s="760">
        <f t="shared" si="76"/>
        <v>6.7459265777335171E+36</v>
      </c>
      <c r="CUG53" s="760">
        <f t="shared" si="76"/>
        <v>6.9483043750655225E+36</v>
      </c>
      <c r="CUH53" s="760">
        <f t="shared" si="76"/>
        <v>7.1567535063174882E+36</v>
      </c>
      <c r="CUI53" s="760">
        <f t="shared" si="76"/>
        <v>7.3714561115070134E+36</v>
      </c>
      <c r="CUJ53" s="760">
        <f t="shared" si="76"/>
        <v>7.5925997948522235E+36</v>
      </c>
      <c r="CUK53" s="760">
        <f t="shared" si="76"/>
        <v>7.8203777886977899E+36</v>
      </c>
      <c r="CUL53" s="760">
        <f t="shared" si="76"/>
        <v>8.0549891223587239E+36</v>
      </c>
      <c r="CUM53" s="760">
        <f t="shared" si="76"/>
        <v>8.2966387960294854E+36</v>
      </c>
      <c r="CUN53" s="760">
        <f t="shared" si="76"/>
        <v>8.5455379599103703E+36</v>
      </c>
      <c r="CUO53" s="760">
        <f t="shared" si="76"/>
        <v>8.801904098707682E+36</v>
      </c>
      <c r="CUP53" s="760">
        <f t="shared" si="76"/>
        <v>9.0659612216689122E+36</v>
      </c>
      <c r="CUQ53" s="760">
        <f t="shared" si="76"/>
        <v>9.3379400583189802E+36</v>
      </c>
      <c r="CUR53" s="760">
        <f t="shared" si="76"/>
        <v>9.6180782600685501E+36</v>
      </c>
      <c r="CUS53" s="760">
        <f t="shared" si="76"/>
        <v>9.9066206078706074E+36</v>
      </c>
      <c r="CUT53" s="760">
        <f t="shared" si="76"/>
        <v>1.0203819226106726E+37</v>
      </c>
      <c r="CUU53" s="760">
        <f t="shared" si="76"/>
        <v>1.0509933802889927E+37</v>
      </c>
      <c r="CUV53" s="760">
        <f t="shared" si="76"/>
        <v>1.0825231816976626E+37</v>
      </c>
      <c r="CUW53" s="760">
        <f t="shared" si="76"/>
        <v>1.1149988771485924E+37</v>
      </c>
      <c r="CUX53" s="760">
        <f t="shared" si="76"/>
        <v>1.1484488434630502E+37</v>
      </c>
      <c r="CUY53" s="760">
        <f t="shared" si="76"/>
        <v>1.1829023087669417E+37</v>
      </c>
      <c r="CUZ53" s="760">
        <f t="shared" si="76"/>
        <v>1.21838937802995E+37</v>
      </c>
      <c r="CVA53" s="760">
        <f t="shared" si="76"/>
        <v>1.2549410593708484E+37</v>
      </c>
      <c r="CVB53" s="760">
        <f t="shared" si="76"/>
        <v>1.2925892911519739E+37</v>
      </c>
      <c r="CVC53" s="760">
        <f t="shared" si="76"/>
        <v>1.3313669698865333E+37</v>
      </c>
      <c r="CVD53" s="760">
        <f t="shared" si="76"/>
        <v>1.3713079789831293E+37</v>
      </c>
      <c r="CVE53" s="760">
        <f t="shared" si="76"/>
        <v>1.4124472183526233E+37</v>
      </c>
      <c r="CVF53" s="760">
        <f t="shared" si="76"/>
        <v>1.454820634903202E+37</v>
      </c>
      <c r="CVG53" s="760">
        <f t="shared" si="76"/>
        <v>1.4984652539502981E+37</v>
      </c>
      <c r="CVH53" s="760">
        <f t="shared" si="76"/>
        <v>1.5434192115688071E+37</v>
      </c>
      <c r="CVI53" s="760">
        <f t="shared" si="76"/>
        <v>1.5897217879158712E+37</v>
      </c>
      <c r="CVJ53" s="760">
        <f t="shared" si="76"/>
        <v>1.6374134415533475E+37</v>
      </c>
      <c r="CVK53" s="760">
        <f t="shared" si="76"/>
        <v>1.686535844799948E+37</v>
      </c>
      <c r="CVL53" s="760">
        <f t="shared" si="76"/>
        <v>1.7371319201439464E+37</v>
      </c>
      <c r="CVM53" s="760">
        <f t="shared" si="76"/>
        <v>1.7892458777482649E+37</v>
      </c>
      <c r="CVN53" s="760">
        <f t="shared" si="76"/>
        <v>1.8429232540807129E+37</v>
      </c>
      <c r="CVO53" s="760">
        <f t="shared" si="76"/>
        <v>1.8982109517031343E+37</v>
      </c>
      <c r="CVP53" s="760">
        <f t="shared" si="76"/>
        <v>1.9551572802542285E+37</v>
      </c>
      <c r="CVQ53" s="760">
        <f t="shared" si="76"/>
        <v>2.0138119986618553E+37</v>
      </c>
      <c r="CVR53" s="760">
        <f t="shared" si="76"/>
        <v>2.074226358621711E+37</v>
      </c>
      <c r="CVS53" s="760">
        <f t="shared" si="76"/>
        <v>2.1364531493803625E+37</v>
      </c>
      <c r="CVT53" s="760">
        <f t="shared" si="76"/>
        <v>2.2005467438617736E+37</v>
      </c>
      <c r="CVU53" s="760">
        <f t="shared" si="76"/>
        <v>2.2665631461776268E+37</v>
      </c>
      <c r="CVV53" s="760">
        <f t="shared" si="76"/>
        <v>2.3345600405629556E+37</v>
      </c>
      <c r="CVW53" s="760">
        <f t="shared" si="76"/>
        <v>2.4045968417798443E+37</v>
      </c>
      <c r="CVX53" s="760">
        <f t="shared" si="76"/>
        <v>2.4767347470332394E+37</v>
      </c>
      <c r="CVY53" s="760">
        <f t="shared" si="76"/>
        <v>2.5510367894442369E+37</v>
      </c>
      <c r="CVZ53" s="760">
        <f t="shared" si="76"/>
        <v>2.6275678931275643E+37</v>
      </c>
      <c r="CWA53" s="760">
        <f t="shared" si="76"/>
        <v>2.7063949299213912E+37</v>
      </c>
      <c r="CWB53" s="760">
        <f t="shared" si="76"/>
        <v>2.787586777819033E+37</v>
      </c>
      <c r="CWC53" s="760">
        <f t="shared" si="76"/>
        <v>2.8712143811536039E+37</v>
      </c>
      <c r="CWD53" s="760">
        <f t="shared" si="76"/>
        <v>2.957350812588212E+37</v>
      </c>
      <c r="CWE53" s="760">
        <f t="shared" ref="CWE53:CYP53" si="77">+CWD53*$C$53</f>
        <v>3.0460713369658583E+37</v>
      </c>
      <c r="CWF53" s="760">
        <f t="shared" si="77"/>
        <v>3.1374534770748342E+37</v>
      </c>
      <c r="CWG53" s="760">
        <f t="shared" si="77"/>
        <v>3.2315770813870791E+37</v>
      </c>
      <c r="CWH53" s="760">
        <f t="shared" si="77"/>
        <v>3.3285243938286914E+37</v>
      </c>
      <c r="CWI53" s="760">
        <f t="shared" si="77"/>
        <v>3.4283801256435521E+37</v>
      </c>
      <c r="CWJ53" s="760">
        <f t="shared" si="77"/>
        <v>3.5312315294128589E+37</v>
      </c>
      <c r="CWK53" s="760">
        <f t="shared" si="77"/>
        <v>3.6371684752952449E+37</v>
      </c>
      <c r="CWL53" s="760">
        <f t="shared" si="77"/>
        <v>3.7462835295541023E+37</v>
      </c>
      <c r="CWM53" s="760">
        <f t="shared" si="77"/>
        <v>3.8586720354407253E+37</v>
      </c>
      <c r="CWN53" s="760">
        <f t="shared" si="77"/>
        <v>3.974432196503947E+37</v>
      </c>
      <c r="CWO53" s="760">
        <f t="shared" si="77"/>
        <v>4.0936651623990654E+37</v>
      </c>
      <c r="CWP53" s="760">
        <f t="shared" si="77"/>
        <v>4.2164751172710373E+37</v>
      </c>
      <c r="CWQ53" s="760">
        <f t="shared" si="77"/>
        <v>4.3429693707891689E+37</v>
      </c>
      <c r="CWR53" s="760">
        <f t="shared" si="77"/>
        <v>4.4732584519128445E+37</v>
      </c>
      <c r="CWS53" s="760">
        <f t="shared" si="77"/>
        <v>4.6074562054702299E+37</v>
      </c>
      <c r="CWT53" s="760">
        <f t="shared" si="77"/>
        <v>4.7456798916343366E+37</v>
      </c>
      <c r="CWU53" s="760">
        <f t="shared" si="77"/>
        <v>4.8880502883833669E+37</v>
      </c>
      <c r="CWV53" s="760">
        <f t="shared" si="77"/>
        <v>5.0346917970348676E+37</v>
      </c>
      <c r="CWW53" s="760">
        <f t="shared" si="77"/>
        <v>5.1857325509459136E+37</v>
      </c>
      <c r="CWX53" s="760">
        <f t="shared" si="77"/>
        <v>5.3413045274742916E+37</v>
      </c>
      <c r="CWY53" s="760">
        <f t="shared" si="77"/>
        <v>5.5015436632985201E+37</v>
      </c>
      <c r="CWZ53" s="760">
        <f t="shared" si="77"/>
        <v>5.6665899731974759E+37</v>
      </c>
      <c r="CXA53" s="760">
        <f t="shared" si="77"/>
        <v>5.8365876723934E+37</v>
      </c>
      <c r="CXB53" s="760">
        <f t="shared" si="77"/>
        <v>6.0116853025652019E+37</v>
      </c>
      <c r="CXC53" s="760">
        <f t="shared" si="77"/>
        <v>6.1920358616421583E+37</v>
      </c>
      <c r="CXD53" s="760">
        <f t="shared" si="77"/>
        <v>6.3777969374914235E+37</v>
      </c>
      <c r="CXE53" s="760">
        <f t="shared" si="77"/>
        <v>6.5691308456161668E+37</v>
      </c>
      <c r="CXF53" s="760">
        <f t="shared" si="77"/>
        <v>6.7662047709846524E+37</v>
      </c>
      <c r="CXG53" s="760">
        <f t="shared" si="77"/>
        <v>6.9691909141141925E+37</v>
      </c>
      <c r="CXH53" s="760">
        <f t="shared" si="77"/>
        <v>7.1782666415376189E+37</v>
      </c>
      <c r="CXI53" s="760">
        <f t="shared" si="77"/>
        <v>7.393614640783748E+37</v>
      </c>
      <c r="CXJ53" s="760">
        <f t="shared" si="77"/>
        <v>7.6154230800072604E+37</v>
      </c>
      <c r="CXK53" s="760">
        <f t="shared" si="77"/>
        <v>7.8438857724074787E+37</v>
      </c>
      <c r="CXL53" s="760">
        <f t="shared" si="77"/>
        <v>8.0792023455797038E+37</v>
      </c>
      <c r="CXM53" s="760">
        <f t="shared" si="77"/>
        <v>8.3215784159470951E+37</v>
      </c>
      <c r="CXN53" s="760">
        <f t="shared" si="77"/>
        <v>8.5712257684255089E+37</v>
      </c>
      <c r="CXO53" s="760">
        <f t="shared" si="77"/>
        <v>8.8283625414782743E+37</v>
      </c>
      <c r="CXP53" s="760">
        <f t="shared" si="77"/>
        <v>9.0932134177226227E+37</v>
      </c>
      <c r="CXQ53" s="760">
        <f t="shared" si="77"/>
        <v>9.3660098202543025E+37</v>
      </c>
      <c r="CXR53" s="760">
        <f t="shared" si="77"/>
        <v>9.6469901148619315E+37</v>
      </c>
      <c r="CXS53" s="760">
        <f t="shared" si="77"/>
        <v>9.9363998183077889E+37</v>
      </c>
      <c r="CXT53" s="760">
        <f t="shared" si="77"/>
        <v>1.0234491812857023E+38</v>
      </c>
      <c r="CXU53" s="760">
        <f t="shared" si="77"/>
        <v>1.0541526567242733E+38</v>
      </c>
      <c r="CXV53" s="760">
        <f t="shared" si="77"/>
        <v>1.0857772364260016E+38</v>
      </c>
      <c r="CXW53" s="760">
        <f t="shared" si="77"/>
        <v>1.1183505535187817E+38</v>
      </c>
      <c r="CXX53" s="760">
        <f t="shared" si="77"/>
        <v>1.1519010701243451E+38</v>
      </c>
      <c r="CXY53" s="760">
        <f t="shared" si="77"/>
        <v>1.1864581022280755E+38</v>
      </c>
      <c r="CXZ53" s="760">
        <f t="shared" si="77"/>
        <v>1.2220518452949177E+38</v>
      </c>
      <c r="CYA53" s="760">
        <f t="shared" si="77"/>
        <v>1.2587134006537653E+38</v>
      </c>
      <c r="CYB53" s="760">
        <f t="shared" si="77"/>
        <v>1.2964748026733783E+38</v>
      </c>
      <c r="CYC53" s="760">
        <f t="shared" si="77"/>
        <v>1.3353690467535798E+38</v>
      </c>
      <c r="CYD53" s="760">
        <f t="shared" si="77"/>
        <v>1.3754301181561872E+38</v>
      </c>
      <c r="CYE53" s="760">
        <f t="shared" si="77"/>
        <v>1.4166930217008728E+38</v>
      </c>
      <c r="CYF53" s="760">
        <f t="shared" si="77"/>
        <v>1.459193812351899E+38</v>
      </c>
      <c r="CYG53" s="760">
        <f t="shared" si="77"/>
        <v>1.5029696267224561E+38</v>
      </c>
      <c r="CYH53" s="760">
        <f t="shared" si="77"/>
        <v>1.5480587155241299E+38</v>
      </c>
      <c r="CYI53" s="760">
        <f t="shared" si="77"/>
        <v>1.5945004769898537E+38</v>
      </c>
      <c r="CYJ53" s="760">
        <f t="shared" si="77"/>
        <v>1.6423354912995494E+38</v>
      </c>
      <c r="CYK53" s="760">
        <f t="shared" si="77"/>
        <v>1.6916055560385359E+38</v>
      </c>
      <c r="CYL53" s="760">
        <f t="shared" si="77"/>
        <v>1.7423537227196918E+38</v>
      </c>
      <c r="CYM53" s="760">
        <f t="shared" si="77"/>
        <v>1.7946243344012826E+38</v>
      </c>
      <c r="CYN53" s="760">
        <f t="shared" si="77"/>
        <v>1.8484630644333211E+38</v>
      </c>
      <c r="CYO53" s="760">
        <f t="shared" si="77"/>
        <v>1.9039169563663209E+38</v>
      </c>
      <c r="CYP53" s="760">
        <f t="shared" si="77"/>
        <v>1.9610344650573104E+38</v>
      </c>
      <c r="CYQ53" s="760">
        <f t="shared" ref="CYQ53:DBB53" si="78">+CYP53*$C$53</f>
        <v>2.0198654990090299E+38</v>
      </c>
      <c r="CYR53" s="760">
        <f t="shared" si="78"/>
        <v>2.0804614639793009E+38</v>
      </c>
      <c r="CYS53" s="760">
        <f t="shared" si="78"/>
        <v>2.1428753078986799E+38</v>
      </c>
      <c r="CYT53" s="760">
        <f t="shared" si="78"/>
        <v>2.2071615671356402E+38</v>
      </c>
      <c r="CYU53" s="760">
        <f t="shared" si="78"/>
        <v>2.2733764141497094E+38</v>
      </c>
      <c r="CYV53" s="760">
        <f t="shared" si="78"/>
        <v>2.341577706574201E+38</v>
      </c>
      <c r="CYW53" s="760">
        <f t="shared" si="78"/>
        <v>2.411825037771427E+38</v>
      </c>
      <c r="CYX53" s="760">
        <f t="shared" si="78"/>
        <v>2.4841797889045699E+38</v>
      </c>
      <c r="CYY53" s="760">
        <f t="shared" si="78"/>
        <v>2.5587051825717072E+38</v>
      </c>
      <c r="CYZ53" s="760">
        <f t="shared" si="78"/>
        <v>2.6354663380488584E+38</v>
      </c>
      <c r="CZA53" s="760">
        <f t="shared" si="78"/>
        <v>2.7145303281903244E+38</v>
      </c>
      <c r="CZB53" s="760">
        <f t="shared" si="78"/>
        <v>2.7959662380360343E+38</v>
      </c>
      <c r="CZC53" s="760">
        <f t="shared" si="78"/>
        <v>2.8798452251771153E+38</v>
      </c>
      <c r="CZD53" s="760">
        <f t="shared" si="78"/>
        <v>2.9662405819324287E+38</v>
      </c>
      <c r="CZE53" s="760">
        <f t="shared" si="78"/>
        <v>3.0552277993904017E+38</v>
      </c>
      <c r="CZF53" s="760">
        <f t="shared" si="78"/>
        <v>3.1468846333721138E+38</v>
      </c>
      <c r="CZG53" s="760">
        <f t="shared" si="78"/>
        <v>3.2412911723732773E+38</v>
      </c>
      <c r="CZH53" s="760">
        <f t="shared" si="78"/>
        <v>3.3385299075444756E+38</v>
      </c>
      <c r="CZI53" s="760">
        <f t="shared" si="78"/>
        <v>3.4386858047708098E+38</v>
      </c>
      <c r="CZJ53" s="760">
        <f t="shared" si="78"/>
        <v>3.5418463789139344E+38</v>
      </c>
      <c r="CZK53" s="760">
        <f t="shared" si="78"/>
        <v>3.6481017702813524E+38</v>
      </c>
      <c r="CZL53" s="760">
        <f t="shared" si="78"/>
        <v>3.7575448233897934E+38</v>
      </c>
      <c r="CZM53" s="760">
        <f t="shared" si="78"/>
        <v>3.870271168091487E+38</v>
      </c>
      <c r="CZN53" s="760">
        <f t="shared" si="78"/>
        <v>3.986379303134232E+38</v>
      </c>
      <c r="CZO53" s="760">
        <f t="shared" si="78"/>
        <v>4.1059706822282592E+38</v>
      </c>
      <c r="CZP53" s="760">
        <f t="shared" si="78"/>
        <v>4.2291498026951073E+38</v>
      </c>
      <c r="CZQ53" s="760">
        <f t="shared" si="78"/>
        <v>4.3560242967759605E+38</v>
      </c>
      <c r="CZR53" s="760">
        <f t="shared" si="78"/>
        <v>4.4867050256792397E+38</v>
      </c>
      <c r="CZS53" s="760">
        <f t="shared" si="78"/>
        <v>4.621306176449617E+38</v>
      </c>
      <c r="CZT53" s="760">
        <f t="shared" si="78"/>
        <v>4.7599453617431056E+38</v>
      </c>
      <c r="CZU53" s="760">
        <f t="shared" si="78"/>
        <v>4.9027437225953987E+38</v>
      </c>
      <c r="CZV53" s="760">
        <f t="shared" si="78"/>
        <v>5.0498260342732609E+38</v>
      </c>
      <c r="CZW53" s="760">
        <f t="shared" si="78"/>
        <v>5.2013208153014592E+38</v>
      </c>
      <c r="CZX53" s="760">
        <f t="shared" si="78"/>
        <v>5.357360439760503E+38</v>
      </c>
      <c r="CZY53" s="760">
        <f t="shared" si="78"/>
        <v>5.5180812529533184E+38</v>
      </c>
      <c r="CZZ53" s="760">
        <f t="shared" si="78"/>
        <v>5.6836236905419183E+38</v>
      </c>
      <c r="DAA53" s="760">
        <f t="shared" si="78"/>
        <v>5.8541324012581762E+38</v>
      </c>
      <c r="DAB53" s="760">
        <f t="shared" si="78"/>
        <v>6.0297563732959217E+38</v>
      </c>
      <c r="DAC53" s="760">
        <f t="shared" si="78"/>
        <v>6.2106490644947992E+38</v>
      </c>
      <c r="DAD53" s="760">
        <f t="shared" si="78"/>
        <v>6.3969685364296436E+38</v>
      </c>
      <c r="DAE53" s="760">
        <f t="shared" si="78"/>
        <v>6.5888775925225327E+38</v>
      </c>
      <c r="DAF53" s="760">
        <f t="shared" si="78"/>
        <v>6.7865439202982087E+38</v>
      </c>
      <c r="DAG53" s="760">
        <f t="shared" si="78"/>
        <v>6.9901402379071555E+38</v>
      </c>
      <c r="DAH53" s="760">
        <f t="shared" si="78"/>
        <v>7.1998444450443708E+38</v>
      </c>
      <c r="DAI53" s="760">
        <f t="shared" si="78"/>
        <v>7.4158397783957026E+38</v>
      </c>
      <c r="DAJ53" s="760">
        <f t="shared" si="78"/>
        <v>7.6383149717475733E+38</v>
      </c>
      <c r="DAK53" s="760">
        <f t="shared" si="78"/>
        <v>7.8674644209000007E+38</v>
      </c>
      <c r="DAL53" s="760">
        <f t="shared" si="78"/>
        <v>8.1034883535270006E+38</v>
      </c>
      <c r="DAM53" s="760">
        <f t="shared" si="78"/>
        <v>8.3465930041328106E+38</v>
      </c>
      <c r="DAN53" s="760">
        <f t="shared" si="78"/>
        <v>8.5969907942567958E+38</v>
      </c>
      <c r="DAO53" s="760">
        <f t="shared" si="78"/>
        <v>8.8549005180844999E+38</v>
      </c>
      <c r="DAP53" s="760">
        <f t="shared" si="78"/>
        <v>9.1205475336270346E+38</v>
      </c>
      <c r="DAQ53" s="760">
        <f t="shared" si="78"/>
        <v>9.3941639596358459E+38</v>
      </c>
      <c r="DAR53" s="760">
        <f t="shared" si="78"/>
        <v>9.6759888784249217E+38</v>
      </c>
      <c r="DAS53" s="760">
        <f t="shared" si="78"/>
        <v>9.9662685447776702E+38</v>
      </c>
      <c r="DAT53" s="760">
        <f t="shared" si="78"/>
        <v>1.0265256601121E+39</v>
      </c>
      <c r="DAU53" s="760">
        <f t="shared" si="78"/>
        <v>1.0573214299154631E+39</v>
      </c>
      <c r="DAV53" s="760">
        <f t="shared" si="78"/>
        <v>1.089041072812927E+39</v>
      </c>
      <c r="DAW53" s="760">
        <f t="shared" si="78"/>
        <v>1.1217123049973148E+39</v>
      </c>
      <c r="DAX53" s="760">
        <f t="shared" si="78"/>
        <v>1.1553636741472344E+39</v>
      </c>
      <c r="DAY53" s="760">
        <f t="shared" si="78"/>
        <v>1.1900245843716514E+39</v>
      </c>
      <c r="DAZ53" s="760">
        <f t="shared" si="78"/>
        <v>1.2257253219028009E+39</v>
      </c>
      <c r="DBA53" s="760">
        <f t="shared" si="78"/>
        <v>1.262497081559885E+39</v>
      </c>
      <c r="DBB53" s="760">
        <f t="shared" si="78"/>
        <v>1.3003719940066815E+39</v>
      </c>
      <c r="DBC53" s="760">
        <f t="shared" ref="DBC53:DDN53" si="79">+DBB53*$C$53</f>
        <v>1.339383153826882E+39</v>
      </c>
      <c r="DBD53" s="760">
        <f t="shared" si="79"/>
        <v>1.3795646484416886E+39</v>
      </c>
      <c r="DBE53" s="760">
        <f t="shared" si="79"/>
        <v>1.4209515878949393E+39</v>
      </c>
      <c r="DBF53" s="760">
        <f t="shared" si="79"/>
        <v>1.4635801355317875E+39</v>
      </c>
      <c r="DBG53" s="760">
        <f t="shared" si="79"/>
        <v>1.507487539597741E+39</v>
      </c>
      <c r="DBH53" s="760">
        <f t="shared" si="79"/>
        <v>1.5527121657856733E+39</v>
      </c>
      <c r="DBI53" s="760">
        <f t="shared" si="79"/>
        <v>1.5992935307592436E+39</v>
      </c>
      <c r="DBJ53" s="760">
        <f t="shared" si="79"/>
        <v>1.6472723366820209E+39</v>
      </c>
      <c r="DBK53" s="760">
        <f t="shared" si="79"/>
        <v>1.6966905067824815E+39</v>
      </c>
      <c r="DBL53" s="760">
        <f t="shared" si="79"/>
        <v>1.747591221985956E+39</v>
      </c>
      <c r="DBM53" s="760">
        <f t="shared" si="79"/>
        <v>1.8000189586455348E+39</v>
      </c>
      <c r="DBN53" s="760">
        <f t="shared" si="79"/>
        <v>1.8540195274049008E+39</v>
      </c>
      <c r="DBO53" s="760">
        <f t="shared" si="79"/>
        <v>1.9096401132270478E+39</v>
      </c>
      <c r="DBP53" s="760">
        <f t="shared" si="79"/>
        <v>1.9669293166238592E+39</v>
      </c>
      <c r="DBQ53" s="760">
        <f t="shared" si="79"/>
        <v>2.0259371961225751E+39</v>
      </c>
      <c r="DBR53" s="760">
        <f t="shared" si="79"/>
        <v>2.0867153120062522E+39</v>
      </c>
      <c r="DBS53" s="760">
        <f t="shared" si="79"/>
        <v>2.1493167713664399E+39</v>
      </c>
      <c r="DBT53" s="760">
        <f t="shared" si="79"/>
        <v>2.2137962745074333E+39</v>
      </c>
      <c r="DBU53" s="760">
        <f t="shared" si="79"/>
        <v>2.2802101627426565E+39</v>
      </c>
      <c r="DBV53" s="760">
        <f t="shared" si="79"/>
        <v>2.3486164676249361E+39</v>
      </c>
      <c r="DBW53" s="760">
        <f t="shared" si="79"/>
        <v>2.4190749616536843E+39</v>
      </c>
      <c r="DBX53" s="760">
        <f t="shared" si="79"/>
        <v>2.491647210503295E+39</v>
      </c>
      <c r="DBY53" s="760">
        <f t="shared" si="79"/>
        <v>2.5663966268183939E+39</v>
      </c>
      <c r="DBZ53" s="760">
        <f t="shared" si="79"/>
        <v>2.6433885256229458E+39</v>
      </c>
      <c r="DCA53" s="760">
        <f t="shared" si="79"/>
        <v>2.7226901813916342E+39</v>
      </c>
      <c r="DCB53" s="760">
        <f t="shared" si="79"/>
        <v>2.8043708868333834E+39</v>
      </c>
      <c r="DCC53" s="760">
        <f t="shared" si="79"/>
        <v>2.8885020134383849E+39</v>
      </c>
      <c r="DCD53" s="760">
        <f t="shared" si="79"/>
        <v>2.9751570738415364E+39</v>
      </c>
      <c r="DCE53" s="760">
        <f t="shared" si="79"/>
        <v>3.0644117860567826E+39</v>
      </c>
      <c r="DCF53" s="760">
        <f t="shared" si="79"/>
        <v>3.156344139638486E+39</v>
      </c>
      <c r="DCG53" s="760">
        <f t="shared" si="79"/>
        <v>3.2510344638276404E+39</v>
      </c>
      <c r="DCH53" s="760">
        <f t="shared" si="79"/>
        <v>3.3485654977424696E+39</v>
      </c>
      <c r="DCI53" s="760">
        <f t="shared" si="79"/>
        <v>3.4490224626747437E+39</v>
      </c>
      <c r="DCJ53" s="760">
        <f t="shared" si="79"/>
        <v>3.5524931365549861E+39</v>
      </c>
      <c r="DCK53" s="760">
        <f t="shared" si="79"/>
        <v>3.6590679306516358E+39</v>
      </c>
      <c r="DCL53" s="760">
        <f t="shared" si="79"/>
        <v>3.7688399685711851E+39</v>
      </c>
      <c r="DCM53" s="760">
        <f t="shared" si="79"/>
        <v>3.8819051676283208E+39</v>
      </c>
      <c r="DCN53" s="760">
        <f t="shared" si="79"/>
        <v>3.9983623226571708E+39</v>
      </c>
      <c r="DCO53" s="760">
        <f t="shared" si="79"/>
        <v>4.1183131923368857E+39</v>
      </c>
      <c r="DCP53" s="760">
        <f t="shared" si="79"/>
        <v>4.2418625881069926E+39</v>
      </c>
      <c r="DCQ53" s="760">
        <f t="shared" si="79"/>
        <v>4.3691184657502025E+39</v>
      </c>
      <c r="DCR53" s="760">
        <f t="shared" si="79"/>
        <v>4.5001920197227087E+39</v>
      </c>
      <c r="DCS53" s="760">
        <f t="shared" si="79"/>
        <v>4.6351977803143902E+39</v>
      </c>
      <c r="DCT53" s="760">
        <f t="shared" si="79"/>
        <v>4.7742537137238222E+39</v>
      </c>
      <c r="DCU53" s="760">
        <f t="shared" si="79"/>
        <v>4.9174813251355373E+39</v>
      </c>
      <c r="DCV53" s="760">
        <f t="shared" si="79"/>
        <v>5.0650057648896033E+39</v>
      </c>
      <c r="DCW53" s="760">
        <f t="shared" si="79"/>
        <v>5.2169559378362914E+39</v>
      </c>
      <c r="DCX53" s="760">
        <f t="shared" si="79"/>
        <v>5.3734646159713803E+39</v>
      </c>
      <c r="DCY53" s="760">
        <f t="shared" si="79"/>
        <v>5.534668554450522E+39</v>
      </c>
      <c r="DCZ53" s="760">
        <f t="shared" si="79"/>
        <v>5.7007086110840378E+39</v>
      </c>
      <c r="DDA53" s="760">
        <f t="shared" si="79"/>
        <v>5.8717298694165596E+39</v>
      </c>
      <c r="DDB53" s="760">
        <f t="shared" si="79"/>
        <v>6.0478817654990565E+39</v>
      </c>
      <c r="DDC53" s="760">
        <f t="shared" si="79"/>
        <v>6.2293182184640283E+39</v>
      </c>
      <c r="DDD53" s="760">
        <f t="shared" si="79"/>
        <v>6.4161977650179488E+39</v>
      </c>
      <c r="DDE53" s="760">
        <f t="shared" si="79"/>
        <v>6.608683697968488E+39</v>
      </c>
      <c r="DDF53" s="760">
        <f t="shared" si="79"/>
        <v>6.8069442089075432E+39</v>
      </c>
      <c r="DDG53" s="760">
        <f t="shared" si="79"/>
        <v>7.0111525351747698E+39</v>
      </c>
      <c r="DDH53" s="760">
        <f t="shared" si="79"/>
        <v>7.2214871112300137E+39</v>
      </c>
      <c r="DDI53" s="760">
        <f t="shared" si="79"/>
        <v>7.4381317245669139E+39</v>
      </c>
      <c r="DDJ53" s="760">
        <f t="shared" si="79"/>
        <v>7.6612756763039213E+39</v>
      </c>
      <c r="DDK53" s="760">
        <f t="shared" si="79"/>
        <v>7.8911139465930393E+39</v>
      </c>
      <c r="DDL53" s="760">
        <f t="shared" si="79"/>
        <v>8.1278473649908304E+39</v>
      </c>
      <c r="DDM53" s="760">
        <f t="shared" si="79"/>
        <v>8.3716827859405555E+39</v>
      </c>
      <c r="DDN53" s="760">
        <f t="shared" si="79"/>
        <v>8.622833269518773E+39</v>
      </c>
      <c r="DDO53" s="760">
        <f t="shared" ref="DDO53:DFZ53" si="80">+DDN53*$C$53</f>
        <v>8.8815182676043362E+39</v>
      </c>
      <c r="DDP53" s="760">
        <f t="shared" si="80"/>
        <v>9.1479638156324665E+39</v>
      </c>
      <c r="DDQ53" s="760">
        <f t="shared" si="80"/>
        <v>9.4224027301014407E+39</v>
      </c>
      <c r="DDR53" s="760">
        <f t="shared" si="80"/>
        <v>9.705074812004484E+39</v>
      </c>
      <c r="DDS53" s="760">
        <f t="shared" si="80"/>
        <v>9.9962270563646187E+39</v>
      </c>
      <c r="DDT53" s="760">
        <f t="shared" si="80"/>
        <v>1.0296113868055557E+40</v>
      </c>
      <c r="DDU53" s="760">
        <f t="shared" si="80"/>
        <v>1.0604997284097224E+40</v>
      </c>
      <c r="DDV53" s="760">
        <f t="shared" si="80"/>
        <v>1.0923147202620142E+40</v>
      </c>
      <c r="DDW53" s="760">
        <f t="shared" si="80"/>
        <v>1.1250841618698746E+40</v>
      </c>
      <c r="DDX53" s="760">
        <f t="shared" si="80"/>
        <v>1.1588366867259708E+40</v>
      </c>
      <c r="DDY53" s="760">
        <f t="shared" si="80"/>
        <v>1.1936017873277501E+40</v>
      </c>
      <c r="DDZ53" s="760">
        <f t="shared" si="80"/>
        <v>1.2294098409475827E+40</v>
      </c>
      <c r="DEA53" s="760">
        <f t="shared" si="80"/>
        <v>1.2662921361760101E+40</v>
      </c>
      <c r="DEB53" s="760">
        <f t="shared" si="80"/>
        <v>1.3042809002612904E+40</v>
      </c>
      <c r="DEC53" s="760">
        <f t="shared" si="80"/>
        <v>1.3434093272691291E+40</v>
      </c>
      <c r="DED53" s="760">
        <f t="shared" si="80"/>
        <v>1.3837116070872028E+40</v>
      </c>
      <c r="DEE53" s="760">
        <f t="shared" si="80"/>
        <v>1.4252229552998189E+40</v>
      </c>
      <c r="DEF53" s="760">
        <f t="shared" si="80"/>
        <v>1.4679796439588135E+40</v>
      </c>
      <c r="DEG53" s="760">
        <f t="shared" si="80"/>
        <v>1.5120190332775779E+40</v>
      </c>
      <c r="DEH53" s="760">
        <f t="shared" si="80"/>
        <v>1.5573796042759053E+40</v>
      </c>
      <c r="DEI53" s="760">
        <f t="shared" si="80"/>
        <v>1.6041009924041824E+40</v>
      </c>
      <c r="DEJ53" s="760">
        <f t="shared" si="80"/>
        <v>1.652224022176308E+40</v>
      </c>
      <c r="DEK53" s="760">
        <f t="shared" si="80"/>
        <v>1.7017907428415972E+40</v>
      </c>
      <c r="DEL53" s="760">
        <f t="shared" si="80"/>
        <v>1.7528444651268452E+40</v>
      </c>
      <c r="DEM53" s="760">
        <f t="shared" si="80"/>
        <v>1.8054297990806505E+40</v>
      </c>
      <c r="DEN53" s="760">
        <f t="shared" si="80"/>
        <v>1.8595926930530702E+40</v>
      </c>
      <c r="DEO53" s="760">
        <f t="shared" si="80"/>
        <v>1.9153804738446623E+40</v>
      </c>
      <c r="DEP53" s="760">
        <f t="shared" si="80"/>
        <v>1.9728418880600024E+40</v>
      </c>
      <c r="DEQ53" s="760">
        <f t="shared" si="80"/>
        <v>2.0320271447018025E+40</v>
      </c>
      <c r="DER53" s="760">
        <f t="shared" si="80"/>
        <v>2.0929879590428567E+40</v>
      </c>
      <c r="DES53" s="760">
        <f t="shared" si="80"/>
        <v>2.1557775978141423E+40</v>
      </c>
      <c r="DET53" s="760">
        <f t="shared" si="80"/>
        <v>2.2204509257485667E+40</v>
      </c>
      <c r="DEU53" s="760">
        <f t="shared" si="80"/>
        <v>2.2870644535210238E+40</v>
      </c>
      <c r="DEV53" s="760">
        <f t="shared" si="80"/>
        <v>2.3556763871266545E+40</v>
      </c>
      <c r="DEW53" s="760">
        <f t="shared" si="80"/>
        <v>2.4263466787404543E+40</v>
      </c>
      <c r="DEX53" s="760">
        <f t="shared" si="80"/>
        <v>2.4991370791026679E+40</v>
      </c>
      <c r="DEY53" s="760">
        <f t="shared" si="80"/>
        <v>2.5741111914757481E+40</v>
      </c>
      <c r="DEZ53" s="760">
        <f t="shared" si="80"/>
        <v>2.6513345272200208E+40</v>
      </c>
      <c r="DFA53" s="760">
        <f t="shared" si="80"/>
        <v>2.7308745630366215E+40</v>
      </c>
      <c r="DFB53" s="760">
        <f t="shared" si="80"/>
        <v>2.8128007999277204E+40</v>
      </c>
      <c r="DFC53" s="760">
        <f t="shared" si="80"/>
        <v>2.8971848239255523E+40</v>
      </c>
      <c r="DFD53" s="760">
        <f t="shared" si="80"/>
        <v>2.9841003686433191E+40</v>
      </c>
      <c r="DFE53" s="760">
        <f t="shared" si="80"/>
        <v>3.0736233797026186E+40</v>
      </c>
      <c r="DFF53" s="760">
        <f t="shared" si="80"/>
        <v>3.1658320810936972E+40</v>
      </c>
      <c r="DFG53" s="760">
        <f t="shared" si="80"/>
        <v>3.2608070435265079E+40</v>
      </c>
      <c r="DFH53" s="760">
        <f t="shared" si="80"/>
        <v>3.358631254832303E+40</v>
      </c>
      <c r="DFI53" s="760">
        <f t="shared" si="80"/>
        <v>3.4593901924772723E+40</v>
      </c>
      <c r="DFJ53" s="760">
        <f t="shared" si="80"/>
        <v>3.5631718982515907E+40</v>
      </c>
      <c r="DFK53" s="760">
        <f t="shared" si="80"/>
        <v>3.6700670551991387E+40</v>
      </c>
      <c r="DFL53" s="760">
        <f t="shared" si="80"/>
        <v>3.7801690668551128E+40</v>
      </c>
      <c r="DFM53" s="760">
        <f t="shared" si="80"/>
        <v>3.8935741388607664E+40</v>
      </c>
      <c r="DFN53" s="760">
        <f t="shared" si="80"/>
        <v>4.0103813630265896E+40</v>
      </c>
      <c r="DFO53" s="760">
        <f t="shared" si="80"/>
        <v>4.1306928039173875E+40</v>
      </c>
      <c r="DFP53" s="760">
        <f t="shared" si="80"/>
        <v>4.2546135880349093E+40</v>
      </c>
      <c r="DFQ53" s="760">
        <f t="shared" si="80"/>
        <v>4.3822519956759564E+40</v>
      </c>
      <c r="DFR53" s="760">
        <f t="shared" si="80"/>
        <v>4.5137195555462349E+40</v>
      </c>
      <c r="DFS53" s="760">
        <f t="shared" si="80"/>
        <v>4.6491311422126217E+40</v>
      </c>
      <c r="DFT53" s="760">
        <f t="shared" si="80"/>
        <v>4.7886050764790005E+40</v>
      </c>
      <c r="DFU53" s="760">
        <f t="shared" si="80"/>
        <v>4.9322632287733711E+40</v>
      </c>
      <c r="DFV53" s="760">
        <f t="shared" si="80"/>
        <v>5.0802311256365728E+40</v>
      </c>
      <c r="DFW53" s="760">
        <f t="shared" si="80"/>
        <v>5.2326380594056698E+40</v>
      </c>
      <c r="DFX53" s="760">
        <f t="shared" si="80"/>
        <v>5.3896172011878399E+40</v>
      </c>
      <c r="DFY53" s="760">
        <f t="shared" si="80"/>
        <v>5.5513057172234756E+40</v>
      </c>
      <c r="DFZ53" s="760">
        <f t="shared" si="80"/>
        <v>5.7178448887401804E+40</v>
      </c>
      <c r="DGA53" s="760">
        <f t="shared" ref="DGA53:DIL53" si="81">+DFZ53*$C$53</f>
        <v>5.889380235402386E+40</v>
      </c>
      <c r="DGB53" s="760">
        <f t="shared" si="81"/>
        <v>6.0660616424644576E+40</v>
      </c>
      <c r="DGC53" s="760">
        <f t="shared" si="81"/>
        <v>6.2480434917383918E+40</v>
      </c>
      <c r="DGD53" s="760">
        <f t="shared" si="81"/>
        <v>6.435484796490544E+40</v>
      </c>
      <c r="DGE53" s="760">
        <f t="shared" si="81"/>
        <v>6.6285493403852603E+40</v>
      </c>
      <c r="DGF53" s="760">
        <f t="shared" si="81"/>
        <v>6.8274058205968179E+40</v>
      </c>
      <c r="DGG53" s="760">
        <f t="shared" si="81"/>
        <v>7.0322279952147226E+40</v>
      </c>
      <c r="DGH53" s="760">
        <f t="shared" si="81"/>
        <v>7.2431948350711644E+40</v>
      </c>
      <c r="DGI53" s="760">
        <f t="shared" si="81"/>
        <v>7.4604906801232993E+40</v>
      </c>
      <c r="DGJ53" s="760">
        <f t="shared" si="81"/>
        <v>7.6843054005269989E+40</v>
      </c>
      <c r="DGK53" s="760">
        <f t="shared" si="81"/>
        <v>7.9148345625428095E+40</v>
      </c>
      <c r="DGL53" s="760">
        <f t="shared" si="81"/>
        <v>8.1522795994190944E+40</v>
      </c>
      <c r="DGM53" s="760">
        <f t="shared" si="81"/>
        <v>8.3968479874016673E+40</v>
      </c>
      <c r="DGN53" s="760">
        <f t="shared" si="81"/>
        <v>8.6487534270237175E+40</v>
      </c>
      <c r="DGO53" s="760">
        <f t="shared" si="81"/>
        <v>8.9082160298344299E+40</v>
      </c>
      <c r="DGP53" s="760">
        <f t="shared" si="81"/>
        <v>9.1754625107294639E+40</v>
      </c>
      <c r="DGQ53" s="760">
        <f t="shared" si="81"/>
        <v>9.4507263860513486E+40</v>
      </c>
      <c r="DGR53" s="760">
        <f t="shared" si="81"/>
        <v>9.7342481776328889E+40</v>
      </c>
      <c r="DGS53" s="760">
        <f t="shared" si="81"/>
        <v>1.0026275622961877E+41</v>
      </c>
      <c r="DGT53" s="760">
        <f t="shared" si="81"/>
        <v>1.0327063891650733E+41</v>
      </c>
      <c r="DGU53" s="760">
        <f t="shared" si="81"/>
        <v>1.0636875808400256E+41</v>
      </c>
      <c r="DGV53" s="760">
        <f t="shared" si="81"/>
        <v>1.0955982082652263E+41</v>
      </c>
      <c r="DGW53" s="760">
        <f t="shared" si="81"/>
        <v>1.1284661545131831E+41</v>
      </c>
      <c r="DGX53" s="760">
        <f t="shared" si="81"/>
        <v>1.1623201391485786E+41</v>
      </c>
      <c r="DGY53" s="760">
        <f t="shared" si="81"/>
        <v>1.197189743323036E+41</v>
      </c>
      <c r="DGZ53" s="760">
        <f t="shared" si="81"/>
        <v>1.233105435622727E+41</v>
      </c>
      <c r="DHA53" s="760">
        <f t="shared" si="81"/>
        <v>1.2700985986914088E+41</v>
      </c>
      <c r="DHB53" s="760">
        <f t="shared" si="81"/>
        <v>1.3082015566521511E+41</v>
      </c>
      <c r="DHC53" s="760">
        <f t="shared" si="81"/>
        <v>1.3474476033517157E+41</v>
      </c>
      <c r="DHD53" s="760">
        <f t="shared" si="81"/>
        <v>1.3878710314522673E+41</v>
      </c>
      <c r="DHE53" s="760">
        <f t="shared" si="81"/>
        <v>1.4295071623958354E+41</v>
      </c>
      <c r="DHF53" s="760">
        <f t="shared" si="81"/>
        <v>1.4723923772677106E+41</v>
      </c>
      <c r="DHG53" s="760">
        <f t="shared" si="81"/>
        <v>1.5165641485857419E+41</v>
      </c>
      <c r="DHH53" s="760">
        <f t="shared" si="81"/>
        <v>1.5620610730433142E+41</v>
      </c>
      <c r="DHI53" s="760">
        <f t="shared" si="81"/>
        <v>1.6089229052346137E+41</v>
      </c>
      <c r="DHJ53" s="760">
        <f t="shared" si="81"/>
        <v>1.6571905923916521E+41</v>
      </c>
      <c r="DHK53" s="760">
        <f t="shared" si="81"/>
        <v>1.7069063101634017E+41</v>
      </c>
      <c r="DHL53" s="760">
        <f t="shared" si="81"/>
        <v>1.7581134994683037E+41</v>
      </c>
      <c r="DHM53" s="760">
        <f t="shared" si="81"/>
        <v>1.8108569044523527E+41</v>
      </c>
      <c r="DHN53" s="760">
        <f t="shared" si="81"/>
        <v>1.8651826115859232E+41</v>
      </c>
      <c r="DHO53" s="760">
        <f t="shared" si="81"/>
        <v>1.9211380899335009E+41</v>
      </c>
      <c r="DHP53" s="760">
        <f t="shared" si="81"/>
        <v>1.9787722326315059E+41</v>
      </c>
      <c r="DHQ53" s="760">
        <f t="shared" si="81"/>
        <v>2.038135399610451E+41</v>
      </c>
      <c r="DHR53" s="760">
        <f t="shared" si="81"/>
        <v>2.0992794615987647E+41</v>
      </c>
      <c r="DHS53" s="760">
        <f t="shared" si="81"/>
        <v>2.1622578454467277E+41</v>
      </c>
      <c r="DHT53" s="760">
        <f t="shared" si="81"/>
        <v>2.2271255808101297E+41</v>
      </c>
      <c r="DHU53" s="760">
        <f t="shared" si="81"/>
        <v>2.2939393482344336E+41</v>
      </c>
      <c r="DHV53" s="760">
        <f t="shared" si="81"/>
        <v>2.3627575286814667E+41</v>
      </c>
      <c r="DHW53" s="760">
        <f t="shared" si="81"/>
        <v>2.4336402545419106E+41</v>
      </c>
      <c r="DHX53" s="760">
        <f t="shared" si="81"/>
        <v>2.506649462178168E+41</v>
      </c>
      <c r="DHY53" s="760">
        <f t="shared" si="81"/>
        <v>2.5818489460435131E+41</v>
      </c>
      <c r="DHZ53" s="760">
        <f t="shared" si="81"/>
        <v>2.6593044144248184E+41</v>
      </c>
      <c r="DIA53" s="760">
        <f t="shared" si="81"/>
        <v>2.7390835468575631E+41</v>
      </c>
      <c r="DIB53" s="760">
        <f t="shared" si="81"/>
        <v>2.8212560532632901E+41</v>
      </c>
      <c r="DIC53" s="760">
        <f t="shared" si="81"/>
        <v>2.9058937348611888E+41</v>
      </c>
      <c r="DID53" s="760">
        <f t="shared" si="81"/>
        <v>2.9930705469070247E+41</v>
      </c>
      <c r="DIE53" s="760">
        <f t="shared" si="81"/>
        <v>3.0828626633142355E+41</v>
      </c>
      <c r="DIF53" s="760">
        <f t="shared" si="81"/>
        <v>3.1753485432136627E+41</v>
      </c>
      <c r="DIG53" s="760">
        <f t="shared" si="81"/>
        <v>3.2706089995100726E+41</v>
      </c>
      <c r="DIH53" s="760">
        <f t="shared" si="81"/>
        <v>3.368727269495375E+41</v>
      </c>
      <c r="DII53" s="760">
        <f t="shared" si="81"/>
        <v>3.4697890875802365E+41</v>
      </c>
      <c r="DIJ53" s="760">
        <f t="shared" si="81"/>
        <v>3.5738827602076437E+41</v>
      </c>
      <c r="DIK53" s="760">
        <f t="shared" si="81"/>
        <v>3.6810992430138732E+41</v>
      </c>
      <c r="DIL53" s="760">
        <f t="shared" si="81"/>
        <v>3.7915322203042894E+41</v>
      </c>
      <c r="DIM53" s="760">
        <f t="shared" ref="DIM53:DKX53" si="82">+DIL53*$C$53</f>
        <v>3.9052781869134186E+41</v>
      </c>
      <c r="DIN53" s="760">
        <f t="shared" si="82"/>
        <v>4.0224365325208213E+41</v>
      </c>
      <c r="DIO53" s="760">
        <f t="shared" si="82"/>
        <v>4.143109628496446E+41</v>
      </c>
      <c r="DIP53" s="760">
        <f t="shared" si="82"/>
        <v>4.2674029173513394E+41</v>
      </c>
      <c r="DIQ53" s="760">
        <f t="shared" si="82"/>
        <v>4.3954250048718796E+41</v>
      </c>
      <c r="DIR53" s="760">
        <f t="shared" si="82"/>
        <v>4.5272877550180358E+41</v>
      </c>
      <c r="DIS53" s="760">
        <f t="shared" si="82"/>
        <v>4.6631063876685767E+41</v>
      </c>
      <c r="DIT53" s="760">
        <f t="shared" si="82"/>
        <v>4.8029995792986343E+41</v>
      </c>
      <c r="DIU53" s="760">
        <f t="shared" si="82"/>
        <v>4.9470895666775938E+41</v>
      </c>
      <c r="DIV53" s="760">
        <f t="shared" si="82"/>
        <v>5.0955022536779215E+41</v>
      </c>
      <c r="DIW53" s="760">
        <f t="shared" si="82"/>
        <v>5.2483673212882591E+41</v>
      </c>
      <c r="DIX53" s="760">
        <f t="shared" si="82"/>
        <v>5.4058183409269074E+41</v>
      </c>
      <c r="DIY53" s="760">
        <f t="shared" si="82"/>
        <v>5.5679928911547147E+41</v>
      </c>
      <c r="DIZ53" s="760">
        <f t="shared" si="82"/>
        <v>5.7350326778893564E+41</v>
      </c>
      <c r="DJA53" s="760">
        <f t="shared" si="82"/>
        <v>5.9070836582260375E+41</v>
      </c>
      <c r="DJB53" s="760">
        <f t="shared" si="82"/>
        <v>6.0842961679728188E+41</v>
      </c>
      <c r="DJC53" s="760">
        <f t="shared" si="82"/>
        <v>6.2668250530120032E+41</v>
      </c>
      <c r="DJD53" s="760">
        <f t="shared" si="82"/>
        <v>6.4548298046023634E+41</v>
      </c>
      <c r="DJE53" s="760">
        <f t="shared" si="82"/>
        <v>6.6484746987404347E+41</v>
      </c>
      <c r="DJF53" s="760">
        <f t="shared" si="82"/>
        <v>6.8479289397026479E+41</v>
      </c>
      <c r="DJG53" s="760">
        <f t="shared" si="82"/>
        <v>7.0533668078937268E+41</v>
      </c>
      <c r="DJH53" s="760">
        <f t="shared" si="82"/>
        <v>7.2649678121305395E+41</v>
      </c>
      <c r="DJI53" s="760">
        <f t="shared" si="82"/>
        <v>7.4829168464944565E+41</v>
      </c>
      <c r="DJJ53" s="760">
        <f t="shared" si="82"/>
        <v>7.7074043518892911E+41</v>
      </c>
      <c r="DJK53" s="760">
        <f t="shared" si="82"/>
        <v>7.9386264824459697E+41</v>
      </c>
      <c r="DJL53" s="760">
        <f t="shared" si="82"/>
        <v>8.1767852769193498E+41</v>
      </c>
      <c r="DJM53" s="760">
        <f t="shared" si="82"/>
        <v>8.4220888352269299E+41</v>
      </c>
      <c r="DJN53" s="760">
        <f t="shared" si="82"/>
        <v>8.6747515002837378E+41</v>
      </c>
      <c r="DJO53" s="760">
        <f t="shared" si="82"/>
        <v>8.9349940452922506E+41</v>
      </c>
      <c r="DJP53" s="760">
        <f t="shared" si="82"/>
        <v>9.2030438666510176E+41</v>
      </c>
      <c r="DJQ53" s="760">
        <f t="shared" si="82"/>
        <v>9.4791351826505488E+41</v>
      </c>
      <c r="DJR53" s="760">
        <f t="shared" si="82"/>
        <v>9.7635092381300659E+41</v>
      </c>
      <c r="DJS53" s="760">
        <f t="shared" si="82"/>
        <v>1.0056414515273969E+42</v>
      </c>
      <c r="DJT53" s="760">
        <f t="shared" si="82"/>
        <v>1.0358106950732188E+42</v>
      </c>
      <c r="DJU53" s="760">
        <f t="shared" si="82"/>
        <v>1.0668850159254153E+42</v>
      </c>
      <c r="DJV53" s="760">
        <f t="shared" si="82"/>
        <v>1.0988915664031779E+42</v>
      </c>
      <c r="DJW53" s="760">
        <f t="shared" si="82"/>
        <v>1.1318583133952733E+42</v>
      </c>
      <c r="DJX53" s="760">
        <f t="shared" si="82"/>
        <v>1.1658140627971315E+42</v>
      </c>
      <c r="DJY53" s="760">
        <f t="shared" si="82"/>
        <v>1.2007884846810454E+42</v>
      </c>
      <c r="DJZ53" s="760">
        <f t="shared" si="82"/>
        <v>1.2368121392214767E+42</v>
      </c>
      <c r="DKA53" s="760">
        <f t="shared" si="82"/>
        <v>1.273916503398121E+42</v>
      </c>
      <c r="DKB53" s="760">
        <f t="shared" si="82"/>
        <v>1.3121339985000646E+42</v>
      </c>
      <c r="DKC53" s="760">
        <f t="shared" si="82"/>
        <v>1.3514980184550666E+42</v>
      </c>
      <c r="DKD53" s="760">
        <f t="shared" si="82"/>
        <v>1.3920429590087186E+42</v>
      </c>
      <c r="DKE53" s="760">
        <f t="shared" si="82"/>
        <v>1.4338042477789802E+42</v>
      </c>
      <c r="DKF53" s="760">
        <f t="shared" si="82"/>
        <v>1.4768183752123497E+42</v>
      </c>
      <c r="DKG53" s="760">
        <f t="shared" si="82"/>
        <v>1.5211229264687204E+42</v>
      </c>
      <c r="DKH53" s="760">
        <f t="shared" si="82"/>
        <v>1.5667566142627822E+42</v>
      </c>
      <c r="DKI53" s="760">
        <f t="shared" si="82"/>
        <v>1.6137593126906656E+42</v>
      </c>
      <c r="DKJ53" s="760">
        <f t="shared" si="82"/>
        <v>1.6621720920713858E+42</v>
      </c>
      <c r="DKK53" s="760">
        <f t="shared" si="82"/>
        <v>1.7120372548335274E+42</v>
      </c>
      <c r="DKL53" s="760">
        <f t="shared" si="82"/>
        <v>1.7633983724785334E+42</v>
      </c>
      <c r="DKM53" s="760">
        <f t="shared" si="82"/>
        <v>1.8163003236528895E+42</v>
      </c>
      <c r="DKN53" s="760">
        <f t="shared" si="82"/>
        <v>1.8707893333624762E+42</v>
      </c>
      <c r="DKO53" s="760">
        <f t="shared" si="82"/>
        <v>1.9269130133633507E+42</v>
      </c>
      <c r="DKP53" s="760">
        <f t="shared" si="82"/>
        <v>1.9847204037642513E+42</v>
      </c>
      <c r="DKQ53" s="760">
        <f t="shared" si="82"/>
        <v>2.0442620158771789E+42</v>
      </c>
      <c r="DKR53" s="760">
        <f t="shared" si="82"/>
        <v>2.1055898763534942E+42</v>
      </c>
      <c r="DKS53" s="760">
        <f t="shared" si="82"/>
        <v>2.168757572644099E+42</v>
      </c>
      <c r="DKT53" s="760">
        <f t="shared" si="82"/>
        <v>2.2338202998234222E+42</v>
      </c>
      <c r="DKU53" s="760">
        <f t="shared" si="82"/>
        <v>2.3008349088181248E+42</v>
      </c>
      <c r="DKV53" s="760">
        <f t="shared" si="82"/>
        <v>2.3698599560826688E+42</v>
      </c>
      <c r="DKW53" s="760">
        <f t="shared" si="82"/>
        <v>2.4409557547651488E+42</v>
      </c>
      <c r="DKX53" s="760">
        <f t="shared" si="82"/>
        <v>2.5141844274081032E+42</v>
      </c>
      <c r="DKY53" s="760">
        <f t="shared" ref="DKY53:DNJ53" si="83">+DKX53*$C$53</f>
        <v>2.5896099602303464E+42</v>
      </c>
      <c r="DKZ53" s="760">
        <f t="shared" si="83"/>
        <v>2.6672982590372569E+42</v>
      </c>
      <c r="DLA53" s="760">
        <f t="shared" si="83"/>
        <v>2.7473172068083748E+42</v>
      </c>
      <c r="DLB53" s="760">
        <f t="shared" si="83"/>
        <v>2.8297367230126262E+42</v>
      </c>
      <c r="DLC53" s="760">
        <f t="shared" si="83"/>
        <v>2.9146288247030051E+42</v>
      </c>
      <c r="DLD53" s="760">
        <f t="shared" si="83"/>
        <v>3.002067689444095E+42</v>
      </c>
      <c r="DLE53" s="760">
        <f t="shared" si="83"/>
        <v>3.0921297201274179E+42</v>
      </c>
      <c r="DLF53" s="760">
        <f t="shared" si="83"/>
        <v>3.1848936117312408E+42</v>
      </c>
      <c r="DLG53" s="760">
        <f t="shared" si="83"/>
        <v>3.2804404200831781E+42</v>
      </c>
      <c r="DLH53" s="760">
        <f t="shared" si="83"/>
        <v>3.3788536326856736E+42</v>
      </c>
      <c r="DLI53" s="760">
        <f t="shared" si="83"/>
        <v>3.480219241666244E+42</v>
      </c>
      <c r="DLJ53" s="760">
        <f t="shared" si="83"/>
        <v>3.5846258189162315E+42</v>
      </c>
      <c r="DLK53" s="760">
        <f t="shared" si="83"/>
        <v>3.6921645934837184E+42</v>
      </c>
      <c r="DLL53" s="760">
        <f t="shared" si="83"/>
        <v>3.8029295312882303E+42</v>
      </c>
      <c r="DLM53" s="760">
        <f t="shared" si="83"/>
        <v>3.9170174172268771E+42</v>
      </c>
      <c r="DLN53" s="760">
        <f t="shared" si="83"/>
        <v>4.0345279397436836E+42</v>
      </c>
      <c r="DLO53" s="760">
        <f t="shared" si="83"/>
        <v>4.1555637779359939E+42</v>
      </c>
      <c r="DLP53" s="760">
        <f t="shared" si="83"/>
        <v>4.280230691274074E+42</v>
      </c>
      <c r="DLQ53" s="760">
        <f t="shared" si="83"/>
        <v>4.4086376120122963E+42</v>
      </c>
      <c r="DLR53" s="760">
        <f t="shared" si="83"/>
        <v>4.5408967403726652E+42</v>
      </c>
      <c r="DLS53" s="760">
        <f t="shared" si="83"/>
        <v>4.6771236425838451E+42</v>
      </c>
      <c r="DLT53" s="760">
        <f t="shared" si="83"/>
        <v>4.8174373518613604E+42</v>
      </c>
      <c r="DLU53" s="760">
        <f t="shared" si="83"/>
        <v>4.961960472417201E+42</v>
      </c>
      <c r="DLV53" s="760">
        <f t="shared" si="83"/>
        <v>5.110819286589717E+42</v>
      </c>
      <c r="DLW53" s="760">
        <f t="shared" si="83"/>
        <v>5.2641438651874085E+42</v>
      </c>
      <c r="DLX53" s="760">
        <f t="shared" si="83"/>
        <v>5.4220681811430306E+42</v>
      </c>
      <c r="DLY53" s="760">
        <f t="shared" si="83"/>
        <v>5.584730226577322E+42</v>
      </c>
      <c r="DLZ53" s="760">
        <f t="shared" si="83"/>
        <v>5.7522721333746416E+42</v>
      </c>
      <c r="DMA53" s="760">
        <f t="shared" si="83"/>
        <v>5.9248402973758809E+42</v>
      </c>
      <c r="DMB53" s="760">
        <f t="shared" si="83"/>
        <v>6.1025855062971573E+42</v>
      </c>
      <c r="DMC53" s="760">
        <f t="shared" si="83"/>
        <v>6.2856630714860719E+42</v>
      </c>
      <c r="DMD53" s="760">
        <f t="shared" si="83"/>
        <v>6.4742329636306539E+42</v>
      </c>
      <c r="DME53" s="760">
        <f t="shared" si="83"/>
        <v>6.6684599525395738E+42</v>
      </c>
      <c r="DMF53" s="760">
        <f t="shared" si="83"/>
        <v>6.8685137511157608E+42</v>
      </c>
      <c r="DMG53" s="760">
        <f t="shared" si="83"/>
        <v>7.0745691636492341E+42</v>
      </c>
      <c r="DMH53" s="760">
        <f t="shared" si="83"/>
        <v>7.2868062385587112E+42</v>
      </c>
      <c r="DMI53" s="760">
        <f t="shared" si="83"/>
        <v>7.5054104257154722E+42</v>
      </c>
      <c r="DMJ53" s="760">
        <f t="shared" si="83"/>
        <v>7.7305727384869362E+42</v>
      </c>
      <c r="DMK53" s="760">
        <f t="shared" si="83"/>
        <v>7.962489920641545E+42</v>
      </c>
      <c r="DML53" s="760">
        <f t="shared" si="83"/>
        <v>8.2013646182607918E+42</v>
      </c>
      <c r="DMM53" s="760">
        <f t="shared" si="83"/>
        <v>8.4474055568086156E+42</v>
      </c>
      <c r="DMN53" s="760">
        <f t="shared" si="83"/>
        <v>8.7008277235128743E+42</v>
      </c>
      <c r="DMO53" s="760">
        <f t="shared" si="83"/>
        <v>8.9618525552182607E+42</v>
      </c>
      <c r="DMP53" s="760">
        <f t="shared" si="83"/>
        <v>9.2307081318748092E+42</v>
      </c>
      <c r="DMQ53" s="760">
        <f t="shared" si="83"/>
        <v>9.507629375831054E+42</v>
      </c>
      <c r="DMR53" s="760">
        <f t="shared" si="83"/>
        <v>9.7928582571059865E+42</v>
      </c>
      <c r="DMS53" s="760">
        <f t="shared" si="83"/>
        <v>1.0086644004819166E+43</v>
      </c>
      <c r="DMT53" s="760">
        <f t="shared" si="83"/>
        <v>1.0389243324963742E+43</v>
      </c>
      <c r="DMU53" s="760">
        <f t="shared" si="83"/>
        <v>1.0700920624712654E+43</v>
      </c>
      <c r="DMV53" s="760">
        <f t="shared" si="83"/>
        <v>1.1021948243454034E+43</v>
      </c>
      <c r="DMW53" s="760">
        <f t="shared" si="83"/>
        <v>1.1352606690757655E+43</v>
      </c>
      <c r="DMX53" s="760">
        <f t="shared" si="83"/>
        <v>1.1693184891480385E+43</v>
      </c>
      <c r="DMY53" s="760">
        <f t="shared" si="83"/>
        <v>1.2043980438224797E+43</v>
      </c>
      <c r="DMZ53" s="760">
        <f t="shared" si="83"/>
        <v>1.2405299851371541E+43</v>
      </c>
      <c r="DNA53" s="760">
        <f t="shared" si="83"/>
        <v>1.2777458846912687E+43</v>
      </c>
      <c r="DNB53" s="760">
        <f t="shared" si="83"/>
        <v>1.3160782612320069E+43</v>
      </c>
      <c r="DNC53" s="760">
        <f t="shared" si="83"/>
        <v>1.355560609068967E+43</v>
      </c>
      <c r="DND53" s="760">
        <f t="shared" si="83"/>
        <v>1.3962274273410359E+43</v>
      </c>
      <c r="DNE53" s="760">
        <f t="shared" si="83"/>
        <v>1.438114250161267E+43</v>
      </c>
      <c r="DNF53" s="760">
        <f t="shared" si="83"/>
        <v>1.4812576776661051E+43</v>
      </c>
      <c r="DNG53" s="760">
        <f t="shared" si="83"/>
        <v>1.5256954079960883E+43</v>
      </c>
      <c r="DNH53" s="760">
        <f t="shared" si="83"/>
        <v>1.5714662702359709E+43</v>
      </c>
      <c r="DNI53" s="760">
        <f t="shared" si="83"/>
        <v>1.6186102583430501E+43</v>
      </c>
      <c r="DNJ53" s="760">
        <f t="shared" si="83"/>
        <v>1.6671685660933417E+43</v>
      </c>
      <c r="DNK53" s="760">
        <f t="shared" ref="DNK53:DPV53" si="84">+DNJ53*$C$53</f>
        <v>1.7171836230761421E+43</v>
      </c>
      <c r="DNL53" s="760">
        <f t="shared" si="84"/>
        <v>1.7686991317684263E+43</v>
      </c>
      <c r="DNM53" s="760">
        <f t="shared" si="84"/>
        <v>1.8217601057214792E+43</v>
      </c>
      <c r="DNN53" s="760">
        <f t="shared" si="84"/>
        <v>1.8764129088931237E+43</v>
      </c>
      <c r="DNO53" s="760">
        <f t="shared" si="84"/>
        <v>1.9327052961599175E+43</v>
      </c>
      <c r="DNP53" s="760">
        <f t="shared" si="84"/>
        <v>1.9906864550447152E+43</v>
      </c>
      <c r="DNQ53" s="760">
        <f t="shared" si="84"/>
        <v>2.0504070486960566E+43</v>
      </c>
      <c r="DNR53" s="760">
        <f t="shared" si="84"/>
        <v>2.1119192601569384E+43</v>
      </c>
      <c r="DNS53" s="760">
        <f t="shared" si="84"/>
        <v>2.1752768379616467E+43</v>
      </c>
      <c r="DNT53" s="760">
        <f t="shared" si="84"/>
        <v>2.240535143100496E+43</v>
      </c>
      <c r="DNU53" s="760">
        <f t="shared" si="84"/>
        <v>2.3077511973935107E+43</v>
      </c>
      <c r="DNV53" s="760">
        <f t="shared" si="84"/>
        <v>2.3769837333153159E+43</v>
      </c>
      <c r="DNW53" s="760">
        <f t="shared" si="84"/>
        <v>2.4482932453147753E+43</v>
      </c>
      <c r="DNX53" s="760">
        <f t="shared" si="84"/>
        <v>2.5217420426742187E+43</v>
      </c>
      <c r="DNY53" s="760">
        <f t="shared" si="84"/>
        <v>2.5973943039544452E+43</v>
      </c>
      <c r="DNZ53" s="760">
        <f t="shared" si="84"/>
        <v>2.6753161330730788E+43</v>
      </c>
      <c r="DOA53" s="760">
        <f t="shared" si="84"/>
        <v>2.7555756170652714E+43</v>
      </c>
      <c r="DOB53" s="760">
        <f t="shared" si="84"/>
        <v>2.8382428855772296E+43</v>
      </c>
      <c r="DOC53" s="760">
        <f t="shared" si="84"/>
        <v>2.9233901721445467E+43</v>
      </c>
      <c r="DOD53" s="760">
        <f t="shared" si="84"/>
        <v>3.0110918773088833E+43</v>
      </c>
      <c r="DOE53" s="760">
        <f t="shared" si="84"/>
        <v>3.10142463362815E+43</v>
      </c>
      <c r="DOF53" s="760">
        <f t="shared" si="84"/>
        <v>3.1944673726369944E+43</v>
      </c>
      <c r="DOG53" s="760">
        <f t="shared" si="84"/>
        <v>3.2903013938161043E+43</v>
      </c>
      <c r="DOH53" s="760">
        <f t="shared" si="84"/>
        <v>3.3890104356305875E+43</v>
      </c>
      <c r="DOI53" s="760">
        <f t="shared" si="84"/>
        <v>3.4906807486995051E+43</v>
      </c>
      <c r="DOJ53" s="760">
        <f t="shared" si="84"/>
        <v>3.5954011711604903E+43</v>
      </c>
      <c r="DOK53" s="760">
        <f t="shared" si="84"/>
        <v>3.703263206295305E+43</v>
      </c>
      <c r="DOL53" s="760">
        <f t="shared" si="84"/>
        <v>3.814361102484164E+43</v>
      </c>
      <c r="DOM53" s="760">
        <f t="shared" si="84"/>
        <v>3.9287919355586892E+43</v>
      </c>
      <c r="DON53" s="760">
        <f t="shared" si="84"/>
        <v>4.0466556936254501E+43</v>
      </c>
      <c r="DOO53" s="760">
        <f t="shared" si="84"/>
        <v>4.1680553644342136E+43</v>
      </c>
      <c r="DOP53" s="760">
        <f t="shared" si="84"/>
        <v>4.2930970253672399E+43</v>
      </c>
      <c r="DOQ53" s="760">
        <f t="shared" si="84"/>
        <v>4.4218899361282573E+43</v>
      </c>
      <c r="DOR53" s="760">
        <f t="shared" si="84"/>
        <v>4.5545466342121047E+43</v>
      </c>
      <c r="DOS53" s="760">
        <f t="shared" si="84"/>
        <v>4.6911830332384683E+43</v>
      </c>
      <c r="DOT53" s="760">
        <f t="shared" si="84"/>
        <v>4.8319185242356221E+43</v>
      </c>
      <c r="DOU53" s="760">
        <f t="shared" si="84"/>
        <v>4.9768760799626905E+43</v>
      </c>
      <c r="DOV53" s="760">
        <f t="shared" si="84"/>
        <v>5.1261823623615709E+43</v>
      </c>
      <c r="DOW53" s="760">
        <f t="shared" si="84"/>
        <v>5.2799678332324186E+43</v>
      </c>
      <c r="DOX53" s="760">
        <f t="shared" si="84"/>
        <v>5.4383668682293916E+43</v>
      </c>
      <c r="DOY53" s="760">
        <f t="shared" si="84"/>
        <v>5.6015178742762731E+43</v>
      </c>
      <c r="DOZ53" s="760">
        <f t="shared" si="84"/>
        <v>5.7695634105045612E+43</v>
      </c>
      <c r="DPA53" s="760">
        <f t="shared" si="84"/>
        <v>5.9426503128196978E+43</v>
      </c>
      <c r="DPB53" s="760">
        <f t="shared" si="84"/>
        <v>6.1209298222042893E+43</v>
      </c>
      <c r="DPC53" s="760">
        <f t="shared" si="84"/>
        <v>6.3045577168704179E+43</v>
      </c>
      <c r="DPD53" s="760">
        <f t="shared" si="84"/>
        <v>6.4936944483765305E+43</v>
      </c>
      <c r="DPE53" s="760">
        <f t="shared" si="84"/>
        <v>6.6885052818278266E+43</v>
      </c>
      <c r="DPF53" s="760">
        <f t="shared" si="84"/>
        <v>6.8891604402826618E+43</v>
      </c>
      <c r="DPG53" s="760">
        <f t="shared" si="84"/>
        <v>7.0958352534911417E+43</v>
      </c>
      <c r="DPH53" s="760">
        <f t="shared" si="84"/>
        <v>7.3087103110958765E+43</v>
      </c>
      <c r="DPI53" s="760">
        <f t="shared" si="84"/>
        <v>7.5279716204287531E+43</v>
      </c>
      <c r="DPJ53" s="760">
        <f t="shared" si="84"/>
        <v>7.7538107690416164E+43</v>
      </c>
      <c r="DPK53" s="760">
        <f t="shared" si="84"/>
        <v>7.9864250921128647E+43</v>
      </c>
      <c r="DPL53" s="760">
        <f t="shared" si="84"/>
        <v>8.2260178448762507E+43</v>
      </c>
      <c r="DPM53" s="760">
        <f t="shared" si="84"/>
        <v>8.4727983802225384E+43</v>
      </c>
      <c r="DPN53" s="760">
        <f t="shared" si="84"/>
        <v>8.7269823316292146E+43</v>
      </c>
      <c r="DPO53" s="760">
        <f t="shared" si="84"/>
        <v>8.9887918015780919E+43</v>
      </c>
      <c r="DPP53" s="760">
        <f t="shared" si="84"/>
        <v>9.2584555556254343E+43</v>
      </c>
      <c r="DPQ53" s="760">
        <f t="shared" si="84"/>
        <v>9.5362092222941966E+43</v>
      </c>
      <c r="DPR53" s="760">
        <f t="shared" si="84"/>
        <v>9.8222954989630236E+43</v>
      </c>
      <c r="DPS53" s="760">
        <f t="shared" si="84"/>
        <v>1.0116964363931915E+44</v>
      </c>
      <c r="DPT53" s="760">
        <f t="shared" si="84"/>
        <v>1.0420473294849873E+44</v>
      </c>
      <c r="DPU53" s="760">
        <f t="shared" si="84"/>
        <v>1.0733087493695369E+44</v>
      </c>
      <c r="DPV53" s="760">
        <f t="shared" si="84"/>
        <v>1.1055080118506231E+44</v>
      </c>
      <c r="DPW53" s="760">
        <f t="shared" ref="DPW53:DSH53" si="85">+DPV53*$C$53</f>
        <v>1.1386732522061418E+44</v>
      </c>
      <c r="DPX53" s="760">
        <f t="shared" si="85"/>
        <v>1.1728334497723261E+44</v>
      </c>
      <c r="DPY53" s="760">
        <f t="shared" si="85"/>
        <v>1.2080184532654959E+44</v>
      </c>
      <c r="DPZ53" s="760">
        <f t="shared" si="85"/>
        <v>1.2442590068634609E+44</v>
      </c>
      <c r="DQA53" s="760">
        <f t="shared" si="85"/>
        <v>1.2815867770693647E+44</v>
      </c>
      <c r="DQB53" s="760">
        <f t="shared" si="85"/>
        <v>1.3200343803814457E+44</v>
      </c>
      <c r="DQC53" s="760">
        <f t="shared" si="85"/>
        <v>1.3596354117928892E+44</v>
      </c>
      <c r="DQD53" s="760">
        <f t="shared" si="85"/>
        <v>1.400424474146676E+44</v>
      </c>
      <c r="DQE53" s="760">
        <f t="shared" si="85"/>
        <v>1.4424372083710762E+44</v>
      </c>
      <c r="DQF53" s="760">
        <f t="shared" si="85"/>
        <v>1.4857103246222086E+44</v>
      </c>
      <c r="DQG53" s="760">
        <f t="shared" si="85"/>
        <v>1.530281634360875E+44</v>
      </c>
      <c r="DQH53" s="760">
        <f t="shared" si="85"/>
        <v>1.5761900833917012E+44</v>
      </c>
      <c r="DQI53" s="760">
        <f t="shared" si="85"/>
        <v>1.6234757858934523E+44</v>
      </c>
      <c r="DQJ53" s="760">
        <f t="shared" si="85"/>
        <v>1.6721800594702559E+44</v>
      </c>
      <c r="DQK53" s="760">
        <f t="shared" si="85"/>
        <v>1.7223454612543637E+44</v>
      </c>
      <c r="DQL53" s="760">
        <f t="shared" si="85"/>
        <v>1.7740158250919947E+44</v>
      </c>
      <c r="DQM53" s="760">
        <f t="shared" si="85"/>
        <v>1.8272362998447547E+44</v>
      </c>
      <c r="DQN53" s="760">
        <f t="shared" si="85"/>
        <v>1.8820533888400974E+44</v>
      </c>
      <c r="DQO53" s="760">
        <f t="shared" si="85"/>
        <v>1.9385149905053006E+44</v>
      </c>
      <c r="DQP53" s="760">
        <f t="shared" si="85"/>
        <v>1.9966704402204595E+44</v>
      </c>
      <c r="DQQ53" s="760">
        <f t="shared" si="85"/>
        <v>2.0565705534270735E+44</v>
      </c>
      <c r="DQR53" s="760">
        <f t="shared" si="85"/>
        <v>2.118267670029886E+44</v>
      </c>
      <c r="DQS53" s="760">
        <f t="shared" si="85"/>
        <v>2.1818157001307824E+44</v>
      </c>
      <c r="DQT53" s="760">
        <f t="shared" si="85"/>
        <v>2.2472701711347059E+44</v>
      </c>
      <c r="DQU53" s="760">
        <f t="shared" si="85"/>
        <v>2.314688276268747E+44</v>
      </c>
      <c r="DQV53" s="760">
        <f t="shared" si="85"/>
        <v>2.3841289245568096E+44</v>
      </c>
      <c r="DQW53" s="760">
        <f t="shared" si="85"/>
        <v>2.4556527922935138E+44</v>
      </c>
      <c r="DQX53" s="760">
        <f t="shared" si="85"/>
        <v>2.5293223760623192E+44</v>
      </c>
      <c r="DQY53" s="760">
        <f t="shared" si="85"/>
        <v>2.6052020473441888E+44</v>
      </c>
      <c r="DQZ53" s="760">
        <f t="shared" si="85"/>
        <v>2.6833581087645145E+44</v>
      </c>
      <c r="DRA53" s="760">
        <f t="shared" si="85"/>
        <v>2.7638588520274499E+44</v>
      </c>
      <c r="DRB53" s="760">
        <f t="shared" si="85"/>
        <v>2.8467746175882733E+44</v>
      </c>
      <c r="DRC53" s="760">
        <f t="shared" si="85"/>
        <v>2.9321778561159215E+44</v>
      </c>
      <c r="DRD53" s="760">
        <f t="shared" si="85"/>
        <v>3.0201431917993993E+44</v>
      </c>
      <c r="DRE53" s="760">
        <f t="shared" si="85"/>
        <v>3.1107474875533812E+44</v>
      </c>
      <c r="DRF53" s="760">
        <f t="shared" si="85"/>
        <v>3.2040699121799828E+44</v>
      </c>
      <c r="DRG53" s="760">
        <f t="shared" si="85"/>
        <v>3.3001920095453823E+44</v>
      </c>
      <c r="DRH53" s="760">
        <f t="shared" si="85"/>
        <v>3.3991977698317439E+44</v>
      </c>
      <c r="DRI53" s="760">
        <f t="shared" si="85"/>
        <v>3.5011737029266964E+44</v>
      </c>
      <c r="DRJ53" s="760">
        <f t="shared" si="85"/>
        <v>3.6062089140144971E+44</v>
      </c>
      <c r="DRK53" s="760">
        <f t="shared" si="85"/>
        <v>3.7143951814349322E+44</v>
      </c>
      <c r="DRL53" s="760">
        <f t="shared" si="85"/>
        <v>3.8258270368779805E+44</v>
      </c>
      <c r="DRM53" s="760">
        <f t="shared" si="85"/>
        <v>3.9406018479843198E+44</v>
      </c>
      <c r="DRN53" s="760">
        <f t="shared" si="85"/>
        <v>4.0588199034238493E+44</v>
      </c>
      <c r="DRO53" s="760">
        <f t="shared" si="85"/>
        <v>4.1805845005265649E+44</v>
      </c>
      <c r="DRP53" s="760">
        <f t="shared" si="85"/>
        <v>4.3060020355423617E+44</v>
      </c>
      <c r="DRQ53" s="760">
        <f t="shared" si="85"/>
        <v>4.435182096608633E+44</v>
      </c>
      <c r="DRR53" s="760">
        <f t="shared" si="85"/>
        <v>4.5682375595068919E+44</v>
      </c>
      <c r="DRS53" s="760">
        <f t="shared" si="85"/>
        <v>4.7052846862920985E+44</v>
      </c>
      <c r="DRT53" s="760">
        <f t="shared" si="85"/>
        <v>4.8464432268808618E+44</v>
      </c>
      <c r="DRU53" s="760">
        <f t="shared" si="85"/>
        <v>4.9918365236872877E+44</v>
      </c>
      <c r="DRV53" s="760">
        <f t="shared" si="85"/>
        <v>5.1415916193979066E+44</v>
      </c>
      <c r="DRW53" s="760">
        <f t="shared" si="85"/>
        <v>5.2958393679798438E+44</v>
      </c>
      <c r="DRX53" s="760">
        <f t="shared" si="85"/>
        <v>5.4547145490192389E+44</v>
      </c>
      <c r="DRY53" s="760">
        <f t="shared" si="85"/>
        <v>5.6183559854898162E+44</v>
      </c>
      <c r="DRZ53" s="760">
        <f t="shared" si="85"/>
        <v>5.786906665054511E+44</v>
      </c>
      <c r="DSA53" s="760">
        <f t="shared" si="85"/>
        <v>5.9605138650061467E+44</v>
      </c>
      <c r="DSB53" s="760">
        <f t="shared" si="85"/>
        <v>6.1393292809563313E+44</v>
      </c>
      <c r="DSC53" s="760">
        <f t="shared" si="85"/>
        <v>6.3235091593850215E+44</v>
      </c>
      <c r="DSD53" s="760">
        <f t="shared" si="85"/>
        <v>6.5132144341665724E+44</v>
      </c>
      <c r="DSE53" s="760">
        <f t="shared" si="85"/>
        <v>6.7086108671915698E+44</v>
      </c>
      <c r="DSF53" s="760">
        <f t="shared" si="85"/>
        <v>6.9098691932073173E+44</v>
      </c>
      <c r="DSG53" s="760">
        <f t="shared" si="85"/>
        <v>7.1171652690035371E+44</v>
      </c>
      <c r="DSH53" s="760">
        <f t="shared" si="85"/>
        <v>7.3306802270736428E+44</v>
      </c>
      <c r="DSI53" s="760">
        <f t="shared" ref="DSI53:DUT53" si="86">+DSH53*$C$53</f>
        <v>7.550600633885852E+44</v>
      </c>
      <c r="DSJ53" s="760">
        <f t="shared" si="86"/>
        <v>7.7771186529024277E+44</v>
      </c>
      <c r="DSK53" s="760">
        <f t="shared" si="86"/>
        <v>8.0104322124895008E+44</v>
      </c>
      <c r="DSL53" s="760">
        <f t="shared" si="86"/>
        <v>8.2507451788641867E+44</v>
      </c>
      <c r="DSM53" s="760">
        <f t="shared" si="86"/>
        <v>8.4982675342301125E+44</v>
      </c>
      <c r="DSN53" s="760">
        <f t="shared" si="86"/>
        <v>8.7532155602570168E+44</v>
      </c>
      <c r="DSO53" s="760">
        <f t="shared" si="86"/>
        <v>9.0158120270647274E+44</v>
      </c>
      <c r="DSP53" s="760">
        <f t="shared" si="86"/>
        <v>9.2862863878766702E+44</v>
      </c>
      <c r="DSQ53" s="760">
        <f t="shared" si="86"/>
        <v>9.5648749795129706E+44</v>
      </c>
      <c r="DSR53" s="760">
        <f t="shared" si="86"/>
        <v>9.85182122889836E+44</v>
      </c>
      <c r="DSS53" s="760">
        <f t="shared" si="86"/>
        <v>1.0147375865765311E+45</v>
      </c>
      <c r="DST53" s="760">
        <f t="shared" si="86"/>
        <v>1.0451797141738269E+45</v>
      </c>
      <c r="DSU53" s="760">
        <f t="shared" si="86"/>
        <v>1.0765351055990418E+45</v>
      </c>
      <c r="DSV53" s="760">
        <f t="shared" si="86"/>
        <v>1.108831158767013E+45</v>
      </c>
      <c r="DSW53" s="760">
        <f t="shared" si="86"/>
        <v>1.1420960935300234E+45</v>
      </c>
      <c r="DSX53" s="760">
        <f t="shared" si="86"/>
        <v>1.1763589763359241E+45</v>
      </c>
      <c r="DSY53" s="760">
        <f t="shared" si="86"/>
        <v>1.2116497456260018E+45</v>
      </c>
      <c r="DSZ53" s="760">
        <f t="shared" si="86"/>
        <v>1.2479992379947819E+45</v>
      </c>
      <c r="DTA53" s="760">
        <f t="shared" si="86"/>
        <v>1.2854392151346254E+45</v>
      </c>
      <c r="DTB53" s="760">
        <f t="shared" si="86"/>
        <v>1.3240023915886641E+45</v>
      </c>
      <c r="DTC53" s="760">
        <f t="shared" si="86"/>
        <v>1.3637224633363241E+45</v>
      </c>
      <c r="DTD53" s="760">
        <f t="shared" si="86"/>
        <v>1.4046341372364139E+45</v>
      </c>
      <c r="DTE53" s="760">
        <f t="shared" si="86"/>
        <v>1.4467731613535064E+45</v>
      </c>
      <c r="DTF53" s="760">
        <f t="shared" si="86"/>
        <v>1.4901763561941115E+45</v>
      </c>
      <c r="DTG53" s="760">
        <f t="shared" si="86"/>
        <v>1.5348816468799348E+45</v>
      </c>
      <c r="DTH53" s="760">
        <f t="shared" si="86"/>
        <v>1.5809280962863329E+45</v>
      </c>
      <c r="DTI53" s="760">
        <f t="shared" si="86"/>
        <v>1.6283559391749229E+45</v>
      </c>
      <c r="DTJ53" s="760">
        <f t="shared" si="86"/>
        <v>1.6772066173501706E+45</v>
      </c>
      <c r="DTK53" s="760">
        <f t="shared" si="86"/>
        <v>1.7275228158706757E+45</v>
      </c>
      <c r="DTL53" s="760">
        <f t="shared" si="86"/>
        <v>1.7793485003467959E+45</v>
      </c>
      <c r="DTM53" s="760">
        <f t="shared" si="86"/>
        <v>1.8327289553571998E+45</v>
      </c>
      <c r="DTN53" s="760">
        <f t="shared" si="86"/>
        <v>1.8877108240179159E+45</v>
      </c>
      <c r="DTO53" s="760">
        <f t="shared" si="86"/>
        <v>1.9443421487384534E+45</v>
      </c>
      <c r="DTP53" s="760">
        <f t="shared" si="86"/>
        <v>2.002672413200607E+45</v>
      </c>
      <c r="DTQ53" s="760">
        <f t="shared" si="86"/>
        <v>2.0627525855966253E+45</v>
      </c>
      <c r="DTR53" s="760">
        <f t="shared" si="86"/>
        <v>2.1246351631645243E+45</v>
      </c>
      <c r="DTS53" s="760">
        <f t="shared" si="86"/>
        <v>2.18837421805946E+45</v>
      </c>
      <c r="DTT53" s="760">
        <f t="shared" si="86"/>
        <v>2.2540254446012438E+45</v>
      </c>
      <c r="DTU53" s="760">
        <f t="shared" si="86"/>
        <v>2.3216462079392812E+45</v>
      </c>
      <c r="DTV53" s="760">
        <f t="shared" si="86"/>
        <v>2.3912955941774595E+45</v>
      </c>
      <c r="DTW53" s="760">
        <f t="shared" si="86"/>
        <v>2.4630344620027834E+45</v>
      </c>
      <c r="DTX53" s="760">
        <f t="shared" si="86"/>
        <v>2.536925495862867E+45</v>
      </c>
      <c r="DTY53" s="760">
        <f t="shared" si="86"/>
        <v>2.6130332607387532E+45</v>
      </c>
      <c r="DTZ53" s="760">
        <f t="shared" si="86"/>
        <v>2.6914242585609157E+45</v>
      </c>
      <c r="DUA53" s="760">
        <f t="shared" si="86"/>
        <v>2.7721669863177433E+45</v>
      </c>
      <c r="DUB53" s="760">
        <f t="shared" si="86"/>
        <v>2.8553319959072758E+45</v>
      </c>
      <c r="DUC53" s="760">
        <f t="shared" si="86"/>
        <v>2.9409919557844942E+45</v>
      </c>
      <c r="DUD53" s="760">
        <f t="shared" si="86"/>
        <v>3.0292217144580289E+45</v>
      </c>
      <c r="DUE53" s="760">
        <f t="shared" si="86"/>
        <v>3.1200983658917695E+45</v>
      </c>
      <c r="DUF53" s="760">
        <f t="shared" si="86"/>
        <v>3.2137013168685227E+45</v>
      </c>
      <c r="DUG53" s="760">
        <f t="shared" si="86"/>
        <v>3.3101123563745786E+45</v>
      </c>
      <c r="DUH53" s="760">
        <f t="shared" si="86"/>
        <v>3.4094157270658163E+45</v>
      </c>
      <c r="DUI53" s="760">
        <f t="shared" si="86"/>
        <v>3.5116981988777911E+45</v>
      </c>
      <c r="DUJ53" s="760">
        <f t="shared" si="86"/>
        <v>3.6170491448441249E+45</v>
      </c>
      <c r="DUK53" s="760">
        <f t="shared" si="86"/>
        <v>3.725560619189449E+45</v>
      </c>
      <c r="DUL53" s="760">
        <f t="shared" si="86"/>
        <v>3.8373274377651328E+45</v>
      </c>
      <c r="DUM53" s="760">
        <f t="shared" si="86"/>
        <v>3.952447260898087E+45</v>
      </c>
      <c r="DUN53" s="760">
        <f t="shared" si="86"/>
        <v>4.0710206787250299E+45</v>
      </c>
      <c r="DUO53" s="760">
        <f t="shared" si="86"/>
        <v>4.1931512990867808E+45</v>
      </c>
      <c r="DUP53" s="760">
        <f t="shared" si="86"/>
        <v>4.3189458380593845E+45</v>
      </c>
      <c r="DUQ53" s="760">
        <f t="shared" si="86"/>
        <v>4.4485142132011661E+45</v>
      </c>
      <c r="DUR53" s="760">
        <f t="shared" si="86"/>
        <v>4.5819696395972014E+45</v>
      </c>
      <c r="DUS53" s="760">
        <f t="shared" si="86"/>
        <v>4.7194287287851177E+45</v>
      </c>
      <c r="DUT53" s="760">
        <f t="shared" si="86"/>
        <v>4.8610115906486715E+45</v>
      </c>
      <c r="DUU53" s="760">
        <f t="shared" ref="DUU53:DXF53" si="87">+DUT53*$C$53</f>
        <v>5.006841938368132E+45</v>
      </c>
      <c r="DUV53" s="760">
        <f t="shared" si="87"/>
        <v>5.1570471965191762E+45</v>
      </c>
      <c r="DUW53" s="760">
        <f t="shared" si="87"/>
        <v>5.3117586124147515E+45</v>
      </c>
      <c r="DUX53" s="760">
        <f t="shared" si="87"/>
        <v>5.4711113707871945E+45</v>
      </c>
      <c r="DUY53" s="760">
        <f t="shared" si="87"/>
        <v>5.6352447119108107E+45</v>
      </c>
      <c r="DUZ53" s="760">
        <f t="shared" si="87"/>
        <v>5.8043020532681357E+45</v>
      </c>
      <c r="DVA53" s="760">
        <f t="shared" si="87"/>
        <v>5.9784311148661793E+45</v>
      </c>
      <c r="DVB53" s="760">
        <f t="shared" si="87"/>
        <v>6.1577840483121648E+45</v>
      </c>
      <c r="DVC53" s="760">
        <f t="shared" si="87"/>
        <v>6.3425175697615294E+45</v>
      </c>
      <c r="DVD53" s="760">
        <f t="shared" si="87"/>
        <v>6.5327930968543759E+45</v>
      </c>
      <c r="DVE53" s="760">
        <f t="shared" si="87"/>
        <v>6.7287768897600077E+45</v>
      </c>
      <c r="DVF53" s="760">
        <f t="shared" si="87"/>
        <v>6.9306401964528077E+45</v>
      </c>
      <c r="DVG53" s="760">
        <f t="shared" si="87"/>
        <v>7.1385594023463922E+45</v>
      </c>
      <c r="DVH53" s="760">
        <f t="shared" si="87"/>
        <v>7.3527161844167837E+45</v>
      </c>
      <c r="DVI53" s="760">
        <f t="shared" si="87"/>
        <v>7.573297669949287E+45</v>
      </c>
      <c r="DVJ53" s="760">
        <f t="shared" si="87"/>
        <v>7.8004966000477653E+45</v>
      </c>
      <c r="DVK53" s="760">
        <f t="shared" si="87"/>
        <v>8.034511498049198E+45</v>
      </c>
      <c r="DVL53" s="760">
        <f t="shared" si="87"/>
        <v>8.2755468429906746E+45</v>
      </c>
      <c r="DVM53" s="760">
        <f t="shared" si="87"/>
        <v>8.5238132482803944E+45</v>
      </c>
      <c r="DVN53" s="760">
        <f t="shared" si="87"/>
        <v>8.7795276457288066E+45</v>
      </c>
      <c r="DVO53" s="760">
        <f t="shared" si="87"/>
        <v>9.0429134751006711E+45</v>
      </c>
      <c r="DVP53" s="760">
        <f t="shared" si="87"/>
        <v>9.3142008793536912E+45</v>
      </c>
      <c r="DVQ53" s="760">
        <f t="shared" si="87"/>
        <v>9.593626905734302E+45</v>
      </c>
      <c r="DVR53" s="760">
        <f t="shared" si="87"/>
        <v>9.8814357129063318E+45</v>
      </c>
      <c r="DVS53" s="760">
        <f t="shared" si="87"/>
        <v>1.0177878784293522E+46</v>
      </c>
      <c r="DVT53" s="760">
        <f t="shared" si="87"/>
        <v>1.0483215147822328E+46</v>
      </c>
      <c r="DVU53" s="760">
        <f t="shared" si="87"/>
        <v>1.0797711602256999E+46</v>
      </c>
      <c r="DVV53" s="760">
        <f t="shared" si="87"/>
        <v>1.112164295032471E+46</v>
      </c>
      <c r="DVW53" s="760">
        <f t="shared" si="87"/>
        <v>1.1455292238834451E+46</v>
      </c>
      <c r="DVX53" s="760">
        <f t="shared" si="87"/>
        <v>1.1798951005999485E+46</v>
      </c>
      <c r="DVY53" s="760">
        <f t="shared" si="87"/>
        <v>1.215291953617947E+46</v>
      </c>
      <c r="DVZ53" s="760">
        <f t="shared" si="87"/>
        <v>1.2517507122264855E+46</v>
      </c>
      <c r="DWA53" s="760">
        <f t="shared" si="87"/>
        <v>1.2893032335932801E+46</v>
      </c>
      <c r="DWB53" s="760">
        <f t="shared" si="87"/>
        <v>1.3279823306010786E+46</v>
      </c>
      <c r="DWC53" s="760">
        <f t="shared" si="87"/>
        <v>1.3678218005191111E+46</v>
      </c>
      <c r="DWD53" s="760">
        <f t="shared" si="87"/>
        <v>1.4088564545346844E+46</v>
      </c>
      <c r="DWE53" s="760">
        <f t="shared" si="87"/>
        <v>1.4511221481707251E+46</v>
      </c>
      <c r="DWF53" s="760">
        <f t="shared" si="87"/>
        <v>1.4946558126158469E+46</v>
      </c>
      <c r="DWG53" s="760">
        <f t="shared" si="87"/>
        <v>1.5394954869943224E+46</v>
      </c>
      <c r="DWH53" s="760">
        <f t="shared" si="87"/>
        <v>1.5856803516041522E+46</v>
      </c>
      <c r="DWI53" s="760">
        <f t="shared" si="87"/>
        <v>1.6332507621522769E+46</v>
      </c>
      <c r="DWJ53" s="760">
        <f t="shared" si="87"/>
        <v>1.6822482850168452E+46</v>
      </c>
      <c r="DWK53" s="760">
        <f t="shared" si="87"/>
        <v>1.7327157335673507E+46</v>
      </c>
      <c r="DWL53" s="760">
        <f t="shared" si="87"/>
        <v>1.7846972055743714E+46</v>
      </c>
      <c r="DWM53" s="760">
        <f t="shared" si="87"/>
        <v>1.8382381217416027E+46</v>
      </c>
      <c r="DWN53" s="760">
        <f t="shared" si="87"/>
        <v>1.8933852653938508E+46</v>
      </c>
      <c r="DWO53" s="760">
        <f t="shared" si="87"/>
        <v>1.9501868233556663E+46</v>
      </c>
      <c r="DWP53" s="760">
        <f t="shared" si="87"/>
        <v>2.0086924280563363E+46</v>
      </c>
      <c r="DWQ53" s="760">
        <f t="shared" si="87"/>
        <v>2.0689532008980264E+46</v>
      </c>
      <c r="DWR53" s="760">
        <f t="shared" si="87"/>
        <v>2.1310217969249672E+46</v>
      </c>
      <c r="DWS53" s="760">
        <f t="shared" si="87"/>
        <v>2.1949524508327163E+46</v>
      </c>
      <c r="DWT53" s="760">
        <f t="shared" si="87"/>
        <v>2.2608010243576977E+46</v>
      </c>
      <c r="DWU53" s="760">
        <f t="shared" si="87"/>
        <v>2.3286250550884288E+46</v>
      </c>
      <c r="DWV53" s="760">
        <f t="shared" si="87"/>
        <v>2.3984838067410816E+46</v>
      </c>
      <c r="DWW53" s="760">
        <f t="shared" si="87"/>
        <v>2.470438320943314E+46</v>
      </c>
      <c r="DWX53" s="760">
        <f t="shared" si="87"/>
        <v>2.5445514705716137E+46</v>
      </c>
      <c r="DWY53" s="760">
        <f t="shared" si="87"/>
        <v>2.6208880146887624E+46</v>
      </c>
      <c r="DWZ53" s="760">
        <f t="shared" si="87"/>
        <v>2.6995146551294254E+46</v>
      </c>
      <c r="DXA53" s="760">
        <f t="shared" si="87"/>
        <v>2.7805000947833082E+46</v>
      </c>
      <c r="DXB53" s="760">
        <f t="shared" si="87"/>
        <v>2.8639150976268073E+46</v>
      </c>
      <c r="DXC53" s="760">
        <f t="shared" si="87"/>
        <v>2.9498325505556118E+46</v>
      </c>
      <c r="DXD53" s="760">
        <f t="shared" si="87"/>
        <v>3.0383275270722802E+46</v>
      </c>
      <c r="DXE53" s="760">
        <f t="shared" si="87"/>
        <v>3.1294773528844487E+46</v>
      </c>
      <c r="DXF53" s="760">
        <f t="shared" si="87"/>
        <v>3.2233616734709821E+46</v>
      </c>
      <c r="DXG53" s="760">
        <f t="shared" ref="DXG53:DZR53" si="88">+DXF53*$C$53</f>
        <v>3.3200625236751118E+46</v>
      </c>
      <c r="DXH53" s="760">
        <f t="shared" si="88"/>
        <v>3.4196643993853652E+46</v>
      </c>
      <c r="DXI53" s="760">
        <f t="shared" si="88"/>
        <v>3.5222543313669264E+46</v>
      </c>
      <c r="DXJ53" s="760">
        <f t="shared" si="88"/>
        <v>3.6279219613079343E+46</v>
      </c>
      <c r="DXK53" s="760">
        <f t="shared" si="88"/>
        <v>3.7367596201471726E+46</v>
      </c>
      <c r="DXL53" s="760">
        <f t="shared" si="88"/>
        <v>3.8488624087515879E+46</v>
      </c>
      <c r="DXM53" s="760">
        <f t="shared" si="88"/>
        <v>3.9643282810141358E+46</v>
      </c>
      <c r="DXN53" s="760">
        <f t="shared" si="88"/>
        <v>4.0832581294445597E+46</v>
      </c>
      <c r="DXO53" s="760">
        <f t="shared" si="88"/>
        <v>4.2057558733278966E+46</v>
      </c>
      <c r="DXP53" s="760">
        <f t="shared" si="88"/>
        <v>4.3319285495277339E+46</v>
      </c>
      <c r="DXQ53" s="760">
        <f t="shared" si="88"/>
        <v>4.4618864060135661E+46</v>
      </c>
      <c r="DXR53" s="760">
        <f t="shared" si="88"/>
        <v>4.5957429981939736E+46</v>
      </c>
      <c r="DXS53" s="760">
        <f t="shared" si="88"/>
        <v>4.7336152881397928E+46</v>
      </c>
      <c r="DXT53" s="760">
        <f t="shared" si="88"/>
        <v>4.8756237467839865E+46</v>
      </c>
      <c r="DXU53" s="760">
        <f t="shared" si="88"/>
        <v>5.0218924591875067E+46</v>
      </c>
      <c r="DXV53" s="760">
        <f t="shared" si="88"/>
        <v>5.1725492329631318E+46</v>
      </c>
      <c r="DXW53" s="760">
        <f t="shared" si="88"/>
        <v>5.3277257099520257E+46</v>
      </c>
      <c r="DXX53" s="760">
        <f t="shared" si="88"/>
        <v>5.487557481250587E+46</v>
      </c>
      <c r="DXY53" s="760">
        <f t="shared" si="88"/>
        <v>5.6521842056881049E+46</v>
      </c>
      <c r="DXZ53" s="760">
        <f t="shared" si="88"/>
        <v>5.8217497318587486E+46</v>
      </c>
      <c r="DYA53" s="760">
        <f t="shared" si="88"/>
        <v>5.9964022238145108E+46</v>
      </c>
      <c r="DYB53" s="760">
        <f t="shared" si="88"/>
        <v>6.176294290528946E+46</v>
      </c>
      <c r="DYC53" s="760">
        <f t="shared" si="88"/>
        <v>6.3615831192448142E+46</v>
      </c>
      <c r="DYD53" s="760">
        <f t="shared" si="88"/>
        <v>6.5524306128221592E+46</v>
      </c>
      <c r="DYE53" s="760">
        <f t="shared" si="88"/>
        <v>6.7490035312068245E+46</v>
      </c>
      <c r="DYF53" s="760">
        <f t="shared" si="88"/>
        <v>6.9514736371430295E+46</v>
      </c>
      <c r="DYG53" s="760">
        <f t="shared" si="88"/>
        <v>7.160017846257321E+46</v>
      </c>
      <c r="DYH53" s="760">
        <f t="shared" si="88"/>
        <v>7.3748183816450405E+46</v>
      </c>
      <c r="DYI53" s="760">
        <f t="shared" si="88"/>
        <v>7.5960629330943919E+46</v>
      </c>
      <c r="DYJ53" s="760">
        <f t="shared" si="88"/>
        <v>7.8239448210872235E+46</v>
      </c>
      <c r="DYK53" s="760">
        <f t="shared" si="88"/>
        <v>8.0586631657198399E+46</v>
      </c>
      <c r="DYL53" s="760">
        <f t="shared" si="88"/>
        <v>8.3004230606914355E+46</v>
      </c>
      <c r="DYM53" s="760">
        <f t="shared" si="88"/>
        <v>8.5494357525121783E+46</v>
      </c>
      <c r="DYN53" s="760">
        <f t="shared" si="88"/>
        <v>8.8059188250875441E+46</v>
      </c>
      <c r="DYO53" s="760">
        <f t="shared" si="88"/>
        <v>9.0700963898401704E+46</v>
      </c>
      <c r="DYP53" s="760">
        <f t="shared" si="88"/>
        <v>9.3421992815353765E+46</v>
      </c>
      <c r="DYQ53" s="760">
        <f t="shared" si="88"/>
        <v>9.6224652599814381E+46</v>
      </c>
      <c r="DYR53" s="760">
        <f t="shared" si="88"/>
        <v>9.9111392177808822E+46</v>
      </c>
      <c r="DYS53" s="760">
        <f t="shared" si="88"/>
        <v>1.0208473394314308E+47</v>
      </c>
      <c r="DYT53" s="760">
        <f t="shared" si="88"/>
        <v>1.0514727596143738E+47</v>
      </c>
      <c r="DYU53" s="760">
        <f t="shared" si="88"/>
        <v>1.083016942402805E+47</v>
      </c>
      <c r="DYV53" s="760">
        <f t="shared" si="88"/>
        <v>1.1155074506748891E+47</v>
      </c>
      <c r="DYW53" s="760">
        <f t="shared" si="88"/>
        <v>1.1489726741951357E+47</v>
      </c>
      <c r="DYX53" s="760">
        <f t="shared" si="88"/>
        <v>1.1834418544209898E+47</v>
      </c>
      <c r="DYY53" s="760">
        <f t="shared" si="88"/>
        <v>1.2189451100536195E+47</v>
      </c>
      <c r="DYZ53" s="760">
        <f t="shared" si="88"/>
        <v>1.2555134633552282E+47</v>
      </c>
      <c r="DZA53" s="760">
        <f t="shared" si="88"/>
        <v>1.2931788672558851E+47</v>
      </c>
      <c r="DZB53" s="760">
        <f t="shared" si="88"/>
        <v>1.3319742332735616E+47</v>
      </c>
      <c r="DZC53" s="760">
        <f t="shared" si="88"/>
        <v>1.3719334602717686E+47</v>
      </c>
      <c r="DZD53" s="760">
        <f t="shared" si="88"/>
        <v>1.4130914640799216E+47</v>
      </c>
      <c r="DZE53" s="760">
        <f t="shared" si="88"/>
        <v>1.4554842080023192E+47</v>
      </c>
      <c r="DZF53" s="760">
        <f t="shared" si="88"/>
        <v>1.4991487342423889E+47</v>
      </c>
      <c r="DZG53" s="760">
        <f t="shared" si="88"/>
        <v>1.5441231962696606E+47</v>
      </c>
      <c r="DZH53" s="760">
        <f t="shared" si="88"/>
        <v>1.5904468921577505E+47</v>
      </c>
      <c r="DZI53" s="760">
        <f t="shared" si="88"/>
        <v>1.6381602989224831E+47</v>
      </c>
      <c r="DZJ53" s="760">
        <f t="shared" si="88"/>
        <v>1.6873051078901576E+47</v>
      </c>
      <c r="DZK53" s="760">
        <f t="shared" si="88"/>
        <v>1.7379242611268623E+47</v>
      </c>
      <c r="DZL53" s="760">
        <f t="shared" si="88"/>
        <v>1.7900619889606683E+47</v>
      </c>
      <c r="DZM53" s="760">
        <f t="shared" si="88"/>
        <v>1.8437638486294885E+47</v>
      </c>
      <c r="DZN53" s="760">
        <f t="shared" si="88"/>
        <v>1.8990767640883732E+47</v>
      </c>
      <c r="DZO53" s="760">
        <f t="shared" si="88"/>
        <v>1.9560490670110244E+47</v>
      </c>
      <c r="DZP53" s="760">
        <f t="shared" si="88"/>
        <v>2.0147305390213551E+47</v>
      </c>
      <c r="DZQ53" s="760">
        <f t="shared" si="88"/>
        <v>2.0751724551919956E+47</v>
      </c>
      <c r="DZR53" s="760">
        <f t="shared" si="88"/>
        <v>2.1374276288477555E+47</v>
      </c>
      <c r="DZS53" s="760">
        <f t="shared" ref="DZS53:ECD53" si="89">+DZR53*$C$53</f>
        <v>2.2015504577131885E+47</v>
      </c>
      <c r="DZT53" s="760">
        <f t="shared" si="89"/>
        <v>2.2675969714445844E+47</v>
      </c>
      <c r="DZU53" s="760">
        <f t="shared" si="89"/>
        <v>2.3356248805879218E+47</v>
      </c>
      <c r="DZV53" s="760">
        <f t="shared" si="89"/>
        <v>2.4056936270055597E+47</v>
      </c>
      <c r="DZW53" s="760">
        <f t="shared" si="89"/>
        <v>2.4778644358157264E+47</v>
      </c>
      <c r="DZX53" s="760">
        <f t="shared" si="89"/>
        <v>2.5522003688901981E+47</v>
      </c>
      <c r="DZY53" s="760">
        <f t="shared" si="89"/>
        <v>2.6287663799569043E+47</v>
      </c>
      <c r="DZZ53" s="760">
        <f t="shared" si="89"/>
        <v>2.7076293713556116E+47</v>
      </c>
      <c r="EAA53" s="760">
        <f t="shared" si="89"/>
        <v>2.7888582524962801E+47</v>
      </c>
      <c r="EAB53" s="760">
        <f t="shared" si="89"/>
        <v>2.8725240000711684E+47</v>
      </c>
      <c r="EAC53" s="760">
        <f t="shared" si="89"/>
        <v>2.9586997200733036E+47</v>
      </c>
      <c r="EAD53" s="760">
        <f t="shared" si="89"/>
        <v>3.0474607116755029E+47</v>
      </c>
      <c r="EAE53" s="760">
        <f t="shared" si="89"/>
        <v>3.1388845330257683E+47</v>
      </c>
      <c r="EAF53" s="760">
        <f t="shared" si="89"/>
        <v>3.2330510690165414E+47</v>
      </c>
      <c r="EAG53" s="760">
        <f t="shared" si="89"/>
        <v>3.3300426010870379E+47</v>
      </c>
      <c r="EAH53" s="760">
        <f t="shared" si="89"/>
        <v>3.4299438791196493E+47</v>
      </c>
      <c r="EAI53" s="760">
        <f t="shared" si="89"/>
        <v>3.5328421954932387E+47</v>
      </c>
      <c r="EAJ53" s="760">
        <f t="shared" si="89"/>
        <v>3.638827461358036E+47</v>
      </c>
      <c r="EAK53" s="760">
        <f t="shared" si="89"/>
        <v>3.7479922851987774E+47</v>
      </c>
      <c r="EAL53" s="760">
        <f t="shared" si="89"/>
        <v>3.8604320537547406E+47</v>
      </c>
      <c r="EAM53" s="760">
        <f t="shared" si="89"/>
        <v>3.9762450153673832E+47</v>
      </c>
      <c r="EAN53" s="760">
        <f t="shared" si="89"/>
        <v>4.0955323658284044E+47</v>
      </c>
      <c r="EAO53" s="760">
        <f t="shared" si="89"/>
        <v>4.2183983368032569E+47</v>
      </c>
      <c r="EAP53" s="760">
        <f t="shared" si="89"/>
        <v>4.3449502869073546E+47</v>
      </c>
      <c r="EAQ53" s="760">
        <f t="shared" si="89"/>
        <v>4.4752987955145755E+47</v>
      </c>
      <c r="EAR53" s="760">
        <f t="shared" si="89"/>
        <v>4.609557759380013E+47</v>
      </c>
      <c r="EAS53" s="760">
        <f t="shared" si="89"/>
        <v>4.7478444921614134E+47</v>
      </c>
      <c r="EAT53" s="760">
        <f t="shared" si="89"/>
        <v>4.8902798269262563E+47</v>
      </c>
      <c r="EAU53" s="760">
        <f t="shared" si="89"/>
        <v>5.036988221734044E+47</v>
      </c>
      <c r="EAV53" s="760">
        <f t="shared" si="89"/>
        <v>5.1880978683860658E+47</v>
      </c>
      <c r="EAW53" s="760">
        <f t="shared" si="89"/>
        <v>5.3437408044376476E+47</v>
      </c>
      <c r="EAX53" s="760">
        <f t="shared" si="89"/>
        <v>5.5040530285707772E+47</v>
      </c>
      <c r="EAY53" s="760">
        <f t="shared" si="89"/>
        <v>5.6691746194279009E+47</v>
      </c>
      <c r="EAZ53" s="760">
        <f t="shared" si="89"/>
        <v>5.8392498580107379E+47</v>
      </c>
      <c r="EBA53" s="760">
        <f t="shared" si="89"/>
        <v>6.0144273537510605E+47</v>
      </c>
      <c r="EBB53" s="760">
        <f t="shared" si="89"/>
        <v>6.1948601743635928E+47</v>
      </c>
      <c r="EBC53" s="760">
        <f t="shared" si="89"/>
        <v>6.380705979594501E+47</v>
      </c>
      <c r="EBD53" s="760">
        <f t="shared" si="89"/>
        <v>6.5721271589823365E+47</v>
      </c>
      <c r="EBE53" s="760">
        <f t="shared" si="89"/>
        <v>6.7692909737518065E+47</v>
      </c>
      <c r="EBF53" s="760">
        <f t="shared" si="89"/>
        <v>6.972369702964361E+47</v>
      </c>
      <c r="EBG53" s="760">
        <f t="shared" si="89"/>
        <v>7.1815407940532918E+47</v>
      </c>
      <c r="EBH53" s="760">
        <f t="shared" si="89"/>
        <v>7.3969870178748907E+47</v>
      </c>
      <c r="EBI53" s="760">
        <f t="shared" si="89"/>
        <v>7.6188966284111384E+47</v>
      </c>
      <c r="EBJ53" s="760">
        <f t="shared" si="89"/>
        <v>7.8474635272634734E+47</v>
      </c>
      <c r="EBK53" s="760">
        <f t="shared" si="89"/>
        <v>8.0828874330813782E+47</v>
      </c>
      <c r="EBL53" s="760">
        <f t="shared" si="89"/>
        <v>8.3253740560738196E+47</v>
      </c>
      <c r="EBM53" s="760">
        <f t="shared" si="89"/>
        <v>8.5751352777560342E+47</v>
      </c>
      <c r="EBN53" s="760">
        <f t="shared" si="89"/>
        <v>8.8323893360887146E+47</v>
      </c>
      <c r="EBO53" s="760">
        <f t="shared" si="89"/>
        <v>9.0973610161713766E+47</v>
      </c>
      <c r="EBP53" s="760">
        <f t="shared" si="89"/>
        <v>9.3702818466565175E+47</v>
      </c>
      <c r="EBQ53" s="760">
        <f t="shared" si="89"/>
        <v>9.6513903020562138E+47</v>
      </c>
      <c r="EBR53" s="760">
        <f t="shared" si="89"/>
        <v>9.9409320111179004E+47</v>
      </c>
      <c r="EBS53" s="760">
        <f t="shared" si="89"/>
        <v>1.0239159971451437E+48</v>
      </c>
      <c r="EBT53" s="760">
        <f t="shared" si="89"/>
        <v>1.054633477059498E+48</v>
      </c>
      <c r="EBU53" s="760">
        <f t="shared" si="89"/>
        <v>1.086272481371283E+48</v>
      </c>
      <c r="EBV53" s="760">
        <f t="shared" si="89"/>
        <v>1.1188606558124215E+48</v>
      </c>
      <c r="EBW53" s="760">
        <f t="shared" si="89"/>
        <v>1.1524264754867942E+48</v>
      </c>
      <c r="EBX53" s="760">
        <f t="shared" si="89"/>
        <v>1.1869992697513981E+48</v>
      </c>
      <c r="EBY53" s="760">
        <f t="shared" si="89"/>
        <v>1.22260924784394E+48</v>
      </c>
      <c r="EBZ53" s="760">
        <f t="shared" si="89"/>
        <v>1.2592875252792583E+48</v>
      </c>
      <c r="ECA53" s="760">
        <f t="shared" si="89"/>
        <v>1.2970661510376361E+48</v>
      </c>
      <c r="ECB53" s="760">
        <f t="shared" si="89"/>
        <v>1.3359781355687652E+48</v>
      </c>
      <c r="ECC53" s="760">
        <f t="shared" si="89"/>
        <v>1.3760574796358282E+48</v>
      </c>
      <c r="ECD53" s="760">
        <f t="shared" si="89"/>
        <v>1.4173392040249032E+48</v>
      </c>
      <c r="ECE53" s="760">
        <f t="shared" ref="ECE53:EEP53" si="90">+ECD53*$C$53</f>
        <v>1.4598593801456503E+48</v>
      </c>
      <c r="ECF53" s="760">
        <f t="shared" si="90"/>
        <v>1.5036551615500199E+48</v>
      </c>
      <c r="ECG53" s="760">
        <f t="shared" si="90"/>
        <v>1.5487648163965204E+48</v>
      </c>
      <c r="ECH53" s="760">
        <f t="shared" si="90"/>
        <v>1.595227760888416E+48</v>
      </c>
      <c r="ECI53" s="760">
        <f t="shared" si="90"/>
        <v>1.6430845937150687E+48</v>
      </c>
      <c r="ECJ53" s="760">
        <f t="shared" si="90"/>
        <v>1.6923771315265208E+48</v>
      </c>
      <c r="ECK53" s="760">
        <f t="shared" si="90"/>
        <v>1.7431484454723164E+48</v>
      </c>
      <c r="ECL53" s="760">
        <f t="shared" si="90"/>
        <v>1.7954428988364861E+48</v>
      </c>
      <c r="ECM53" s="760">
        <f t="shared" si="90"/>
        <v>1.8493061858015806E+48</v>
      </c>
      <c r="ECN53" s="760">
        <f t="shared" si="90"/>
        <v>1.9047853713756281E+48</v>
      </c>
      <c r="ECO53" s="760">
        <f t="shared" si="90"/>
        <v>1.9619289325168969E+48</v>
      </c>
      <c r="ECP53" s="760">
        <f t="shared" si="90"/>
        <v>2.0207868004924039E+48</v>
      </c>
      <c r="ECQ53" s="760">
        <f t="shared" si="90"/>
        <v>2.0814104045071759E+48</v>
      </c>
      <c r="ECR53" s="760">
        <f t="shared" si="90"/>
        <v>2.1438527166423912E+48</v>
      </c>
      <c r="ECS53" s="760">
        <f t="shared" si="90"/>
        <v>2.2081682981416629E+48</v>
      </c>
      <c r="ECT53" s="760">
        <f t="shared" si="90"/>
        <v>2.2744133470859127E+48</v>
      </c>
      <c r="ECU53" s="760">
        <f t="shared" si="90"/>
        <v>2.3426457474984902E+48</v>
      </c>
      <c r="ECV53" s="760">
        <f t="shared" si="90"/>
        <v>2.4129251199234451E+48</v>
      </c>
      <c r="ECW53" s="760">
        <f t="shared" si="90"/>
        <v>2.4853128735211485E+48</v>
      </c>
      <c r="ECX53" s="760">
        <f t="shared" si="90"/>
        <v>2.5598722597267832E+48</v>
      </c>
      <c r="ECY53" s="760">
        <f t="shared" si="90"/>
        <v>2.6366684275185868E+48</v>
      </c>
      <c r="ECZ53" s="760">
        <f t="shared" si="90"/>
        <v>2.7157684803441445E+48</v>
      </c>
      <c r="EDA53" s="760">
        <f t="shared" si="90"/>
        <v>2.7972415347544689E+48</v>
      </c>
      <c r="EDB53" s="760">
        <f t="shared" si="90"/>
        <v>2.8811587807971032E+48</v>
      </c>
      <c r="EDC53" s="760">
        <f t="shared" si="90"/>
        <v>2.9675935442210165E+48</v>
      </c>
      <c r="EDD53" s="760">
        <f t="shared" si="90"/>
        <v>3.056621350547647E+48</v>
      </c>
      <c r="EDE53" s="760">
        <f t="shared" si="90"/>
        <v>3.1483199910640766E+48</v>
      </c>
      <c r="EDF53" s="760">
        <f t="shared" si="90"/>
        <v>3.2427695907959988E+48</v>
      </c>
      <c r="EDG53" s="760">
        <f t="shared" si="90"/>
        <v>3.340052678519879E+48</v>
      </c>
      <c r="EDH53" s="760">
        <f t="shared" si="90"/>
        <v>3.4402542588754757E+48</v>
      </c>
      <c r="EDI53" s="760">
        <f t="shared" si="90"/>
        <v>3.5434618866417401E+48</v>
      </c>
      <c r="EDJ53" s="760">
        <f t="shared" si="90"/>
        <v>3.6497657432409921E+48</v>
      </c>
      <c r="EDK53" s="760">
        <f t="shared" si="90"/>
        <v>3.7592587155382222E+48</v>
      </c>
      <c r="EDL53" s="760">
        <f t="shared" si="90"/>
        <v>3.8720364770043687E+48</v>
      </c>
      <c r="EDM53" s="760">
        <f t="shared" si="90"/>
        <v>3.9881975713144998E+48</v>
      </c>
      <c r="EDN53" s="760">
        <f t="shared" si="90"/>
        <v>4.1078434984539348E+48</v>
      </c>
      <c r="EDO53" s="760">
        <f t="shared" si="90"/>
        <v>4.2310788034075531E+48</v>
      </c>
      <c r="EDP53" s="760">
        <f t="shared" si="90"/>
        <v>4.3580111675097795E+48</v>
      </c>
      <c r="EDQ53" s="760">
        <f t="shared" si="90"/>
        <v>4.4887515025350733E+48</v>
      </c>
      <c r="EDR53" s="760">
        <f t="shared" si="90"/>
        <v>4.6234140476111255E+48</v>
      </c>
      <c r="EDS53" s="760">
        <f t="shared" si="90"/>
        <v>4.7621164690394595E+48</v>
      </c>
      <c r="EDT53" s="760">
        <f t="shared" si="90"/>
        <v>4.9049799631106433E+48</v>
      </c>
      <c r="EDU53" s="760">
        <f t="shared" si="90"/>
        <v>5.052129362003963E+48</v>
      </c>
      <c r="EDV53" s="760">
        <f t="shared" si="90"/>
        <v>5.2036932428640819E+48</v>
      </c>
      <c r="EDW53" s="760">
        <f t="shared" si="90"/>
        <v>5.3598040401500044E+48</v>
      </c>
      <c r="EDX53" s="760">
        <f t="shared" si="90"/>
        <v>5.5205981613545046E+48</v>
      </c>
      <c r="EDY53" s="760">
        <f t="shared" si="90"/>
        <v>5.6862161061951396E+48</v>
      </c>
      <c r="EDZ53" s="760">
        <f t="shared" si="90"/>
        <v>5.8568025893809944E+48</v>
      </c>
      <c r="EEA53" s="760">
        <f t="shared" si="90"/>
        <v>6.0325066670624246E+48</v>
      </c>
      <c r="EEB53" s="760">
        <f t="shared" si="90"/>
        <v>6.2134818670742974E+48</v>
      </c>
      <c r="EEC53" s="760">
        <f t="shared" si="90"/>
        <v>6.3998863230865263E+48</v>
      </c>
      <c r="EED53" s="760">
        <f t="shared" si="90"/>
        <v>6.5918829127791221E+48</v>
      </c>
      <c r="EEE53" s="760">
        <f t="shared" si="90"/>
        <v>6.7896394001624966E+48</v>
      </c>
      <c r="EEF53" s="760">
        <f t="shared" si="90"/>
        <v>6.9933285821673714E+48</v>
      </c>
      <c r="EEG53" s="760">
        <f t="shared" si="90"/>
        <v>7.2031284396323922E+48</v>
      </c>
      <c r="EEH53" s="760">
        <f t="shared" si="90"/>
        <v>7.419222292821364E+48</v>
      </c>
      <c r="EEI53" s="760">
        <f t="shared" si="90"/>
        <v>7.6417989616060051E+48</v>
      </c>
      <c r="EEJ53" s="760">
        <f t="shared" si="90"/>
        <v>7.8710529304541859E+48</v>
      </c>
      <c r="EEK53" s="760">
        <f t="shared" si="90"/>
        <v>8.1071845183678122E+48</v>
      </c>
      <c r="EEL53" s="760">
        <f t="shared" si="90"/>
        <v>8.3504000539188463E+48</v>
      </c>
      <c r="EEM53" s="760">
        <f t="shared" si="90"/>
        <v>8.6009120555364115E+48</v>
      </c>
      <c r="EEN53" s="760">
        <f t="shared" si="90"/>
        <v>8.8589394172025039E+48</v>
      </c>
      <c r="EEO53" s="760">
        <f t="shared" si="90"/>
        <v>9.1247075997185797E+48</v>
      </c>
      <c r="EEP53" s="760">
        <f t="shared" si="90"/>
        <v>9.3984488277101377E+48</v>
      </c>
      <c r="EEQ53" s="760">
        <f t="shared" ref="EEQ53:EHB53" si="91">+EEP53*$C$53</f>
        <v>9.6804022925414421E+48</v>
      </c>
      <c r="EER53" s="760">
        <f t="shared" si="91"/>
        <v>9.9708143613176854E+48</v>
      </c>
      <c r="EES53" s="760">
        <f t="shared" si="91"/>
        <v>1.0269938792157216E+49</v>
      </c>
      <c r="EET53" s="760">
        <f t="shared" si="91"/>
        <v>1.0578036955921932E+49</v>
      </c>
      <c r="EEU53" s="760">
        <f t="shared" si="91"/>
        <v>1.089537806459959E+49</v>
      </c>
      <c r="EEV53" s="760">
        <f t="shared" si="91"/>
        <v>1.1222239406537578E+49</v>
      </c>
      <c r="EEW53" s="760">
        <f t="shared" si="91"/>
        <v>1.1558906588733706E+49</v>
      </c>
      <c r="EEX53" s="760">
        <f t="shared" si="91"/>
        <v>1.1905673786395717E+49</v>
      </c>
      <c r="EEY53" s="760">
        <f t="shared" si="91"/>
        <v>1.2262843999987588E+49</v>
      </c>
      <c r="EEZ53" s="760">
        <f t="shared" si="91"/>
        <v>1.2630729319987217E+49</v>
      </c>
      <c r="EFA53" s="760">
        <f t="shared" si="91"/>
        <v>1.3009651199586833E+49</v>
      </c>
      <c r="EFB53" s="760">
        <f t="shared" si="91"/>
        <v>1.3399940735574439E+49</v>
      </c>
      <c r="EFC53" s="760">
        <f t="shared" si="91"/>
        <v>1.3801938957641672E+49</v>
      </c>
      <c r="EFD53" s="760">
        <f t="shared" si="91"/>
        <v>1.4215997126370922E+49</v>
      </c>
      <c r="EFE53" s="760">
        <f t="shared" si="91"/>
        <v>1.464247704016205E+49</v>
      </c>
      <c r="EFF53" s="760">
        <f t="shared" si="91"/>
        <v>1.5081751351366911E+49</v>
      </c>
      <c r="EFG53" s="760">
        <f t="shared" si="91"/>
        <v>1.5534203891907918E+49</v>
      </c>
      <c r="EFH53" s="760">
        <f t="shared" si="91"/>
        <v>1.6000230008665155E+49</v>
      </c>
      <c r="EFI53" s="760">
        <f t="shared" si="91"/>
        <v>1.6480236908925111E+49</v>
      </c>
      <c r="EFJ53" s="760">
        <f t="shared" si="91"/>
        <v>1.6974644016192865E+49</v>
      </c>
      <c r="EFK53" s="760">
        <f t="shared" si="91"/>
        <v>1.7483883336678652E+49</v>
      </c>
      <c r="EFL53" s="760">
        <f t="shared" si="91"/>
        <v>1.8008399836779012E+49</v>
      </c>
      <c r="EFM53" s="760">
        <f t="shared" si="91"/>
        <v>1.8548651831882384E+49</v>
      </c>
      <c r="EFN53" s="760">
        <f t="shared" si="91"/>
        <v>1.9105111386838856E+49</v>
      </c>
      <c r="EFO53" s="760">
        <f t="shared" si="91"/>
        <v>1.9678264728444022E+49</v>
      </c>
      <c r="EFP53" s="760">
        <f t="shared" si="91"/>
        <v>2.0268612670297343E+49</v>
      </c>
      <c r="EFQ53" s="760">
        <f t="shared" si="91"/>
        <v>2.0876671050406263E+49</v>
      </c>
      <c r="EFR53" s="760">
        <f t="shared" si="91"/>
        <v>2.1502971181918452E+49</v>
      </c>
      <c r="EFS53" s="760">
        <f t="shared" si="91"/>
        <v>2.2148060317376005E+49</v>
      </c>
      <c r="EFT53" s="760">
        <f t="shared" si="91"/>
        <v>2.2812502126897286E+49</v>
      </c>
      <c r="EFU53" s="760">
        <f t="shared" si="91"/>
        <v>2.3496877190704205E+49</v>
      </c>
      <c r="EFV53" s="760">
        <f t="shared" si="91"/>
        <v>2.4201783506425331E+49</v>
      </c>
      <c r="EFW53" s="760">
        <f t="shared" si="91"/>
        <v>2.4927837011618091E+49</v>
      </c>
      <c r="EFX53" s="760">
        <f t="shared" si="91"/>
        <v>2.5675672121966633E+49</v>
      </c>
      <c r="EFY53" s="760">
        <f t="shared" si="91"/>
        <v>2.6445942285625631E+49</v>
      </c>
      <c r="EFZ53" s="760">
        <f t="shared" si="91"/>
        <v>2.7239320554194399E+49</v>
      </c>
      <c r="EGA53" s="760">
        <f t="shared" si="91"/>
        <v>2.8056500170820231E+49</v>
      </c>
      <c r="EGB53" s="760">
        <f t="shared" si="91"/>
        <v>2.8898195175944838E+49</v>
      </c>
      <c r="EGC53" s="760">
        <f t="shared" si="91"/>
        <v>2.9765141031223185E+49</v>
      </c>
      <c r="EGD53" s="760">
        <f t="shared" si="91"/>
        <v>3.0658095262159882E+49</v>
      </c>
      <c r="EGE53" s="760">
        <f t="shared" si="91"/>
        <v>3.1577838120024681E+49</v>
      </c>
      <c r="EGF53" s="760">
        <f t="shared" si="91"/>
        <v>3.2525173263625422E+49</v>
      </c>
      <c r="EGG53" s="760">
        <f t="shared" si="91"/>
        <v>3.3500928461534185E+49</v>
      </c>
      <c r="EGH53" s="760">
        <f t="shared" si="91"/>
        <v>3.4505956315380211E+49</v>
      </c>
      <c r="EGI53" s="760">
        <f t="shared" si="91"/>
        <v>3.5541135004841619E+49</v>
      </c>
      <c r="EGJ53" s="760">
        <f t="shared" si="91"/>
        <v>3.6607369054986869E+49</v>
      </c>
      <c r="EGK53" s="760">
        <f t="shared" si="91"/>
        <v>3.7705590126636477E+49</v>
      </c>
      <c r="EGL53" s="760">
        <f t="shared" si="91"/>
        <v>3.8836757830435573E+49</v>
      </c>
      <c r="EGM53" s="760">
        <f t="shared" si="91"/>
        <v>4.000186056534864E+49</v>
      </c>
      <c r="EGN53" s="760">
        <f t="shared" si="91"/>
        <v>4.1201916382309102E+49</v>
      </c>
      <c r="EGO53" s="760">
        <f t="shared" si="91"/>
        <v>4.2437973873778378E+49</v>
      </c>
      <c r="EGP53" s="760">
        <f t="shared" si="91"/>
        <v>4.371111308999173E+49</v>
      </c>
      <c r="EGQ53" s="760">
        <f t="shared" si="91"/>
        <v>4.5022446482691483E+49</v>
      </c>
      <c r="EGR53" s="760">
        <f t="shared" si="91"/>
        <v>4.6373119877172228E+49</v>
      </c>
      <c r="EGS53" s="760">
        <f t="shared" si="91"/>
        <v>4.7764313473487396E+49</v>
      </c>
      <c r="EGT53" s="760">
        <f t="shared" si="91"/>
        <v>4.9197242877692016E+49</v>
      </c>
      <c r="EGU53" s="760">
        <f t="shared" si="91"/>
        <v>5.0673160164022776E+49</v>
      </c>
      <c r="EGV53" s="760">
        <f t="shared" si="91"/>
        <v>5.2193354968943461E+49</v>
      </c>
      <c r="EGW53" s="760">
        <f t="shared" si="91"/>
        <v>5.3759155618011767E+49</v>
      </c>
      <c r="EGX53" s="760">
        <f t="shared" si="91"/>
        <v>5.5371930286552117E+49</v>
      </c>
      <c r="EGY53" s="760">
        <f t="shared" si="91"/>
        <v>5.7033088195148683E+49</v>
      </c>
      <c r="EGZ53" s="760">
        <f t="shared" si="91"/>
        <v>5.8744080841003148E+49</v>
      </c>
      <c r="EHA53" s="760">
        <f t="shared" si="91"/>
        <v>6.0506403266233245E+49</v>
      </c>
      <c r="EHB53" s="760">
        <f t="shared" si="91"/>
        <v>6.2321595364220249E+49</v>
      </c>
      <c r="EHC53" s="760">
        <f t="shared" ref="EHC53:EJN53" si="92">+EHB53*$C$53</f>
        <v>6.4191243225146859E+49</v>
      </c>
      <c r="EHD53" s="760">
        <f t="shared" si="92"/>
        <v>6.6116980521901265E+49</v>
      </c>
      <c r="EHE53" s="760">
        <f t="shared" si="92"/>
        <v>6.8100489937558304E+49</v>
      </c>
      <c r="EHF53" s="760">
        <f t="shared" si="92"/>
        <v>7.0143504635685056E+49</v>
      </c>
      <c r="EHG53" s="760">
        <f t="shared" si="92"/>
        <v>7.2247809774755606E+49</v>
      </c>
      <c r="EHH53" s="760">
        <f t="shared" si="92"/>
        <v>7.4415244067998275E+49</v>
      </c>
      <c r="EHI53" s="760">
        <f t="shared" si="92"/>
        <v>7.6647701390038226E+49</v>
      </c>
      <c r="EHJ53" s="760">
        <f t="shared" si="92"/>
        <v>7.8947132431739376E+49</v>
      </c>
      <c r="EHK53" s="760">
        <f t="shared" si="92"/>
        <v>8.1315546404691564E+49</v>
      </c>
      <c r="EHL53" s="760">
        <f t="shared" si="92"/>
        <v>8.3755012796832311E+49</v>
      </c>
      <c r="EHM53" s="760">
        <f t="shared" si="92"/>
        <v>8.6267663180737278E+49</v>
      </c>
      <c r="EHN53" s="760">
        <f t="shared" si="92"/>
        <v>8.8855693076159394E+49</v>
      </c>
      <c r="EHO53" s="760">
        <f t="shared" si="92"/>
        <v>9.1521363868444182E+49</v>
      </c>
      <c r="EHP53" s="760">
        <f t="shared" si="92"/>
        <v>9.4267004784497518E+49</v>
      </c>
      <c r="EHQ53" s="760">
        <f t="shared" si="92"/>
        <v>9.7095014928032444E+49</v>
      </c>
      <c r="EHR53" s="760">
        <f t="shared" si="92"/>
        <v>1.0000786537587343E+50</v>
      </c>
      <c r="EHS53" s="760">
        <f t="shared" si="92"/>
        <v>1.0300810133714964E+50</v>
      </c>
      <c r="EHT53" s="760">
        <f t="shared" si="92"/>
        <v>1.0609834437726414E+50</v>
      </c>
      <c r="EHU53" s="760">
        <f t="shared" si="92"/>
        <v>1.0928129470858207E+50</v>
      </c>
      <c r="EHV53" s="760">
        <f t="shared" si="92"/>
        <v>1.1255973354983954E+50</v>
      </c>
      <c r="EHW53" s="760">
        <f t="shared" si="92"/>
        <v>1.1593652555633474E+50</v>
      </c>
      <c r="EHX53" s="760">
        <f t="shared" si="92"/>
        <v>1.1941462132302479E+50</v>
      </c>
      <c r="EHY53" s="760">
        <f t="shared" si="92"/>
        <v>1.2299705996271553E+50</v>
      </c>
      <c r="EHZ53" s="760">
        <f t="shared" si="92"/>
        <v>1.2668697176159701E+50</v>
      </c>
      <c r="EIA53" s="760">
        <f t="shared" si="92"/>
        <v>1.3048758091444492E+50</v>
      </c>
      <c r="EIB53" s="760">
        <f t="shared" si="92"/>
        <v>1.3440220834187828E+50</v>
      </c>
      <c r="EIC53" s="760">
        <f t="shared" si="92"/>
        <v>1.3843427459213464E+50</v>
      </c>
      <c r="EID53" s="760">
        <f t="shared" si="92"/>
        <v>1.4258730282989868E+50</v>
      </c>
      <c r="EIE53" s="760">
        <f t="shared" si="92"/>
        <v>1.4686492191479565E+50</v>
      </c>
      <c r="EIF53" s="760">
        <f t="shared" si="92"/>
        <v>1.5127086957223953E+50</v>
      </c>
      <c r="EIG53" s="760">
        <f t="shared" si="92"/>
        <v>1.5580899565940671E+50</v>
      </c>
      <c r="EIH53" s="760">
        <f t="shared" si="92"/>
        <v>1.6048326552918891E+50</v>
      </c>
      <c r="EII53" s="760">
        <f t="shared" si="92"/>
        <v>1.6529776349506458E+50</v>
      </c>
      <c r="EIJ53" s="760">
        <f t="shared" si="92"/>
        <v>1.7025669639991652E+50</v>
      </c>
      <c r="EIK53" s="760">
        <f t="shared" si="92"/>
        <v>1.7536439729191403E+50</v>
      </c>
      <c r="EIL53" s="760">
        <f t="shared" si="92"/>
        <v>1.8062532921067145E+50</v>
      </c>
      <c r="EIM53" s="760">
        <f t="shared" si="92"/>
        <v>1.860440890869916E+50</v>
      </c>
      <c r="EIN53" s="760">
        <f t="shared" si="92"/>
        <v>1.9162541175960133E+50</v>
      </c>
      <c r="EIO53" s="760">
        <f t="shared" si="92"/>
        <v>1.9737417411238936E+50</v>
      </c>
      <c r="EIP53" s="760">
        <f t="shared" si="92"/>
        <v>2.0329539933576106E+50</v>
      </c>
      <c r="EIQ53" s="760">
        <f t="shared" si="92"/>
        <v>2.093942613158339E+50</v>
      </c>
      <c r="EIR53" s="760">
        <f t="shared" si="92"/>
        <v>2.1567608915530893E+50</v>
      </c>
      <c r="EIS53" s="760">
        <f t="shared" si="92"/>
        <v>2.221463718299682E+50</v>
      </c>
      <c r="EIT53" s="760">
        <f t="shared" si="92"/>
        <v>2.2881076298486726E+50</v>
      </c>
      <c r="EIU53" s="760">
        <f t="shared" si="92"/>
        <v>2.356750858744133E+50</v>
      </c>
      <c r="EIV53" s="760">
        <f t="shared" si="92"/>
        <v>2.4274533845064569E+50</v>
      </c>
      <c r="EIW53" s="760">
        <f t="shared" si="92"/>
        <v>2.5002769860416505E+50</v>
      </c>
      <c r="EIX53" s="760">
        <f t="shared" si="92"/>
        <v>2.5752852956229002E+50</v>
      </c>
      <c r="EIY53" s="760">
        <f t="shared" si="92"/>
        <v>2.6525438544915874E+50</v>
      </c>
      <c r="EIZ53" s="760">
        <f t="shared" si="92"/>
        <v>2.7321201701263349E+50</v>
      </c>
      <c r="EJA53" s="760">
        <f t="shared" si="92"/>
        <v>2.8140837752301251E+50</v>
      </c>
      <c r="EJB53" s="760">
        <f t="shared" si="92"/>
        <v>2.8985062884870288E+50</v>
      </c>
      <c r="EJC53" s="760">
        <f t="shared" si="92"/>
        <v>2.9854614771416399E+50</v>
      </c>
      <c r="EJD53" s="760">
        <f t="shared" si="92"/>
        <v>3.075025321455889E+50</v>
      </c>
      <c r="EJE53" s="760">
        <f t="shared" si="92"/>
        <v>3.1672760810995657E+50</v>
      </c>
      <c r="EJF53" s="760">
        <f t="shared" si="92"/>
        <v>3.2622943635325528E+50</v>
      </c>
      <c r="EJG53" s="760">
        <f t="shared" si="92"/>
        <v>3.3601631944385293E+50</v>
      </c>
      <c r="EJH53" s="760">
        <f t="shared" si="92"/>
        <v>3.4609680902716853E+50</v>
      </c>
      <c r="EJI53" s="760">
        <f t="shared" si="92"/>
        <v>3.5647971329798361E+50</v>
      </c>
      <c r="EJJ53" s="760">
        <f t="shared" si="92"/>
        <v>3.6717410469692311E+50</v>
      </c>
      <c r="EJK53" s="760">
        <f t="shared" si="92"/>
        <v>3.7818932783783085E+50</v>
      </c>
      <c r="EJL53" s="760">
        <f t="shared" si="92"/>
        <v>3.8953500767296578E+50</v>
      </c>
      <c r="EJM53" s="760">
        <f t="shared" si="92"/>
        <v>4.0122105790315473E+50</v>
      </c>
      <c r="EJN53" s="760">
        <f t="shared" si="92"/>
        <v>4.1325768964024937E+50</v>
      </c>
      <c r="EJO53" s="760">
        <f t="shared" ref="EJO53:ELZ53" si="93">+EJN53*$C$53</f>
        <v>4.2565542032945684E+50</v>
      </c>
      <c r="EJP53" s="760">
        <f t="shared" si="93"/>
        <v>4.3842508293934056E+50</v>
      </c>
      <c r="EJQ53" s="760">
        <f t="shared" si="93"/>
        <v>4.5157783542752078E+50</v>
      </c>
      <c r="EJR53" s="760">
        <f t="shared" si="93"/>
        <v>4.6512517049034642E+50</v>
      </c>
      <c r="EJS53" s="760">
        <f t="shared" si="93"/>
        <v>4.7907892560505685E+50</v>
      </c>
      <c r="EJT53" s="760">
        <f t="shared" si="93"/>
        <v>4.9345129337320854E+50</v>
      </c>
      <c r="EJU53" s="760">
        <f t="shared" si="93"/>
        <v>5.0825483217440482E+50</v>
      </c>
      <c r="EJV53" s="760">
        <f t="shared" si="93"/>
        <v>5.2350247713963699E+50</v>
      </c>
      <c r="EJW53" s="760">
        <f t="shared" si="93"/>
        <v>5.3920755145382612E+50</v>
      </c>
      <c r="EJX53" s="760">
        <f t="shared" si="93"/>
        <v>5.5538377799744091E+50</v>
      </c>
      <c r="EJY53" s="760">
        <f t="shared" si="93"/>
        <v>5.7204529133736418E+50</v>
      </c>
      <c r="EJZ53" s="760">
        <f t="shared" si="93"/>
        <v>5.8920665007748513E+50</v>
      </c>
      <c r="EKA53" s="760">
        <f t="shared" si="93"/>
        <v>6.0688284957980968E+50</v>
      </c>
      <c r="EKB53" s="760">
        <f t="shared" si="93"/>
        <v>6.2508933506720398E+50</v>
      </c>
      <c r="EKC53" s="760">
        <f t="shared" si="93"/>
        <v>6.438420151192201E+50</v>
      </c>
      <c r="EKD53" s="760">
        <f t="shared" si="93"/>
        <v>6.6315727557279671E+50</v>
      </c>
      <c r="EKE53" s="760">
        <f t="shared" si="93"/>
        <v>6.8305199383998064E+50</v>
      </c>
      <c r="EKF53" s="760">
        <f t="shared" si="93"/>
        <v>7.0354355365518005E+50</v>
      </c>
      <c r="EKG53" s="760">
        <f t="shared" si="93"/>
        <v>7.2464986026483547E+50</v>
      </c>
      <c r="EKH53" s="760">
        <f t="shared" si="93"/>
        <v>7.4638935607278056E+50</v>
      </c>
      <c r="EKI53" s="760">
        <f t="shared" si="93"/>
        <v>7.6878103675496397E+50</v>
      </c>
      <c r="EKJ53" s="760">
        <f t="shared" si="93"/>
        <v>7.9184446785761283E+50</v>
      </c>
      <c r="EKK53" s="760">
        <f t="shared" si="93"/>
        <v>8.155998018933412E+50</v>
      </c>
      <c r="EKL53" s="760">
        <f t="shared" si="93"/>
        <v>8.4006779595014151E+50</v>
      </c>
      <c r="EKM53" s="760">
        <f t="shared" si="93"/>
        <v>8.6526982982864578E+50</v>
      </c>
      <c r="EKN53" s="760">
        <f t="shared" si="93"/>
        <v>8.9122792472350512E+50</v>
      </c>
      <c r="EKO53" s="760">
        <f t="shared" si="93"/>
        <v>9.179647624652103E+50</v>
      </c>
      <c r="EKP53" s="760">
        <f t="shared" si="93"/>
        <v>9.455037053391666E+50</v>
      </c>
      <c r="EKQ53" s="760">
        <f t="shared" si="93"/>
        <v>9.7386881649934168E+50</v>
      </c>
      <c r="EKR53" s="760">
        <f t="shared" si="93"/>
        <v>1.003084880994322E+51</v>
      </c>
      <c r="EKS53" s="760">
        <f t="shared" si="93"/>
        <v>1.0331774274241518E+51</v>
      </c>
      <c r="EKT53" s="760">
        <f t="shared" si="93"/>
        <v>1.0641727502468763E+51</v>
      </c>
      <c r="EKU53" s="760">
        <f t="shared" si="93"/>
        <v>1.0960979327542825E+51</v>
      </c>
      <c r="EKV53" s="760">
        <f t="shared" si="93"/>
        <v>1.1289808707369111E+51</v>
      </c>
      <c r="EKW53" s="760">
        <f t="shared" si="93"/>
        <v>1.1628502968590185E+51</v>
      </c>
      <c r="EKX53" s="760">
        <f t="shared" si="93"/>
        <v>1.1977358057647891E+51</v>
      </c>
      <c r="EKY53" s="760">
        <f t="shared" si="93"/>
        <v>1.2336678799377328E+51</v>
      </c>
      <c r="EKZ53" s="760">
        <f t="shared" si="93"/>
        <v>1.2706779163358648E+51</v>
      </c>
      <c r="ELA53" s="760">
        <f t="shared" si="93"/>
        <v>1.3087982538259408E+51</v>
      </c>
      <c r="ELB53" s="760">
        <f t="shared" si="93"/>
        <v>1.3480622014407191E+51</v>
      </c>
      <c r="ELC53" s="760">
        <f t="shared" si="93"/>
        <v>1.3885040674839408E+51</v>
      </c>
      <c r="ELD53" s="760">
        <f t="shared" si="93"/>
        <v>1.4301591895084589E+51</v>
      </c>
      <c r="ELE53" s="760">
        <f t="shared" si="93"/>
        <v>1.4730639651937127E+51</v>
      </c>
      <c r="ELF53" s="760">
        <f t="shared" si="93"/>
        <v>1.517255884149524E+51</v>
      </c>
      <c r="ELG53" s="760">
        <f t="shared" si="93"/>
        <v>1.56277356067401E+51</v>
      </c>
      <c r="ELH53" s="760">
        <f t="shared" si="93"/>
        <v>1.6096567674942303E+51</v>
      </c>
      <c r="ELI53" s="760">
        <f t="shared" si="93"/>
        <v>1.6579464705190572E+51</v>
      </c>
      <c r="ELJ53" s="760">
        <f t="shared" si="93"/>
        <v>1.7076848646346288E+51</v>
      </c>
      <c r="ELK53" s="760">
        <f t="shared" si="93"/>
        <v>1.7589154105736678E+51</v>
      </c>
      <c r="ELL53" s="760">
        <f t="shared" si="93"/>
        <v>1.8116828728908777E+51</v>
      </c>
      <c r="ELM53" s="760">
        <f t="shared" si="93"/>
        <v>1.8660333590776043E+51</v>
      </c>
      <c r="ELN53" s="760">
        <f t="shared" si="93"/>
        <v>1.9220143598499325E+51</v>
      </c>
      <c r="ELO53" s="760">
        <f t="shared" si="93"/>
        <v>1.9796747906454307E+51</v>
      </c>
      <c r="ELP53" s="760">
        <f t="shared" si="93"/>
        <v>2.0390650343647935E+51</v>
      </c>
      <c r="ELQ53" s="760">
        <f t="shared" si="93"/>
        <v>2.1002369853957373E+51</v>
      </c>
      <c r="ELR53" s="760">
        <f t="shared" si="93"/>
        <v>2.1632440949576093E+51</v>
      </c>
      <c r="ELS53" s="760">
        <f t="shared" si="93"/>
        <v>2.2281414178063376E+51</v>
      </c>
      <c r="ELT53" s="760">
        <f t="shared" si="93"/>
        <v>2.2949856603405279E+51</v>
      </c>
      <c r="ELU53" s="760">
        <f t="shared" si="93"/>
        <v>2.3638352301507438E+51</v>
      </c>
      <c r="ELV53" s="760">
        <f t="shared" si="93"/>
        <v>2.4347502870552661E+51</v>
      </c>
      <c r="ELW53" s="760">
        <f t="shared" si="93"/>
        <v>2.507792795666924E+51</v>
      </c>
      <c r="ELX53" s="760">
        <f t="shared" si="93"/>
        <v>2.5830265795369317E+51</v>
      </c>
      <c r="ELY53" s="760">
        <f t="shared" si="93"/>
        <v>2.6605173769230396E+51</v>
      </c>
      <c r="ELZ53" s="760">
        <f t="shared" si="93"/>
        <v>2.7403328982307309E+51</v>
      </c>
      <c r="EMA53" s="760">
        <f t="shared" ref="EMA53:EOL53" si="94">+ELZ53*$C$53</f>
        <v>2.8225428851776529E+51</v>
      </c>
      <c r="EMB53" s="760">
        <f t="shared" si="94"/>
        <v>2.9072191717329825E+51</v>
      </c>
      <c r="EMC53" s="760">
        <f t="shared" si="94"/>
        <v>2.9944357468849718E+51</v>
      </c>
      <c r="EMD53" s="760">
        <f t="shared" si="94"/>
        <v>3.0842688192915208E+51</v>
      </c>
      <c r="EME53" s="760">
        <f t="shared" si="94"/>
        <v>3.1767968838702663E+51</v>
      </c>
      <c r="EMF53" s="760">
        <f t="shared" si="94"/>
        <v>3.2721007903863744E+51</v>
      </c>
      <c r="EMG53" s="760">
        <f t="shared" si="94"/>
        <v>3.370263814097966E+51</v>
      </c>
      <c r="EMH53" s="760">
        <f t="shared" si="94"/>
        <v>3.4713717285209051E+51</v>
      </c>
      <c r="EMI53" s="760">
        <f t="shared" si="94"/>
        <v>3.5755128803765322E+51</v>
      </c>
      <c r="EMJ53" s="760">
        <f t="shared" si="94"/>
        <v>3.6827782667878284E+51</v>
      </c>
      <c r="EMK53" s="760">
        <f t="shared" si="94"/>
        <v>3.7932616147914631E+51</v>
      </c>
      <c r="EML53" s="760">
        <f t="shared" si="94"/>
        <v>3.9070594632352068E+51</v>
      </c>
      <c r="EMM53" s="760">
        <f t="shared" si="94"/>
        <v>4.0242712471322629E+51</v>
      </c>
      <c r="EMN53" s="760">
        <f t="shared" si="94"/>
        <v>4.144999384546231E+51</v>
      </c>
      <c r="EMO53" s="760">
        <f t="shared" si="94"/>
        <v>4.2693493660826182E+51</v>
      </c>
      <c r="EMP53" s="760">
        <f t="shared" si="94"/>
        <v>4.3974298470650972E+51</v>
      </c>
      <c r="EMQ53" s="760">
        <f t="shared" si="94"/>
        <v>4.5293527424770503E+51</v>
      </c>
      <c r="EMR53" s="760">
        <f t="shared" si="94"/>
        <v>4.6652333247513617E+51</v>
      </c>
      <c r="EMS53" s="760">
        <f t="shared" si="94"/>
        <v>4.8051903244939024E+51</v>
      </c>
      <c r="EMT53" s="760">
        <f t="shared" si="94"/>
        <v>4.9493460342287193E+51</v>
      </c>
      <c r="EMU53" s="760">
        <f t="shared" si="94"/>
        <v>5.0978264152555808E+51</v>
      </c>
      <c r="EMV53" s="760">
        <f t="shared" si="94"/>
        <v>5.2507612077132483E+51</v>
      </c>
      <c r="EMW53" s="760">
        <f t="shared" si="94"/>
        <v>5.4082840439446461E+51</v>
      </c>
      <c r="EMX53" s="760">
        <f t="shared" si="94"/>
        <v>5.5705325652629854E+51</v>
      </c>
      <c r="EMY53" s="760">
        <f t="shared" si="94"/>
        <v>5.7376485422208751E+51</v>
      </c>
      <c r="EMZ53" s="760">
        <f t="shared" si="94"/>
        <v>5.9097779984875015E+51</v>
      </c>
      <c r="ENA53" s="760">
        <f t="shared" si="94"/>
        <v>6.087071338442126E+51</v>
      </c>
      <c r="ENB53" s="760">
        <f t="shared" si="94"/>
        <v>6.2696834785953901E+51</v>
      </c>
      <c r="ENC53" s="760">
        <f t="shared" si="94"/>
        <v>6.4577739829532518E+51</v>
      </c>
      <c r="END53" s="760">
        <f t="shared" si="94"/>
        <v>6.6515072024418495E+51</v>
      </c>
      <c r="ENE53" s="760">
        <f t="shared" si="94"/>
        <v>6.8510524185151054E+51</v>
      </c>
      <c r="ENF53" s="760">
        <f t="shared" si="94"/>
        <v>7.0565839910705585E+51</v>
      </c>
      <c r="ENG53" s="760">
        <f t="shared" si="94"/>
        <v>7.2682815108026759E+51</v>
      </c>
      <c r="ENH53" s="760">
        <f t="shared" si="94"/>
        <v>7.4863299561267564E+51</v>
      </c>
      <c r="ENI53" s="760">
        <f t="shared" si="94"/>
        <v>7.7109198548105599E+51</v>
      </c>
      <c r="ENJ53" s="760">
        <f t="shared" si="94"/>
        <v>7.9422474504548768E+51</v>
      </c>
      <c r="ENK53" s="760">
        <f t="shared" si="94"/>
        <v>8.1805148739685237E+51</v>
      </c>
      <c r="ENL53" s="760">
        <f t="shared" si="94"/>
        <v>8.4259303201875797E+51</v>
      </c>
      <c r="ENM53" s="760">
        <f t="shared" si="94"/>
        <v>8.6787082297932079E+51</v>
      </c>
      <c r="ENN53" s="760">
        <f t="shared" si="94"/>
        <v>8.9390694766870045E+51</v>
      </c>
      <c r="ENO53" s="760">
        <f t="shared" si="94"/>
        <v>9.2072415609876153E+51</v>
      </c>
      <c r="ENP53" s="760">
        <f t="shared" si="94"/>
        <v>9.4834588078172441E+51</v>
      </c>
      <c r="ENQ53" s="760">
        <f t="shared" si="94"/>
        <v>9.7679625720517618E+51</v>
      </c>
      <c r="ENR53" s="760">
        <f t="shared" si="94"/>
        <v>1.0061001449213315E+52</v>
      </c>
      <c r="ENS53" s="760">
        <f t="shared" si="94"/>
        <v>1.0362831492689715E+52</v>
      </c>
      <c r="ENT53" s="760">
        <f t="shared" si="94"/>
        <v>1.0673716437470406E+52</v>
      </c>
      <c r="ENU53" s="760">
        <f t="shared" si="94"/>
        <v>1.0993927930594519E+52</v>
      </c>
      <c r="ENV53" s="760">
        <f t="shared" si="94"/>
        <v>1.1323745768512355E+52</v>
      </c>
      <c r="ENW53" s="760">
        <f t="shared" si="94"/>
        <v>1.1663458141567726E+52</v>
      </c>
      <c r="ENX53" s="760">
        <f t="shared" si="94"/>
        <v>1.2013361885814759E+52</v>
      </c>
      <c r="ENY53" s="760">
        <f t="shared" si="94"/>
        <v>1.2373762742389202E+52</v>
      </c>
      <c r="ENZ53" s="760">
        <f t="shared" si="94"/>
        <v>1.2744975624660879E+52</v>
      </c>
      <c r="EOA53" s="760">
        <f t="shared" si="94"/>
        <v>1.3127324893400707E+52</v>
      </c>
      <c r="EOB53" s="760">
        <f t="shared" si="94"/>
        <v>1.3521144640202729E+52</v>
      </c>
      <c r="EOC53" s="760">
        <f t="shared" si="94"/>
        <v>1.3926778979408811E+52</v>
      </c>
      <c r="EOD53" s="760">
        <f t="shared" si="94"/>
        <v>1.4344582348791075E+52</v>
      </c>
      <c r="EOE53" s="760">
        <f t="shared" si="94"/>
        <v>1.4774919819254809E+52</v>
      </c>
      <c r="EOF53" s="760">
        <f t="shared" si="94"/>
        <v>1.5218167413832453E+52</v>
      </c>
      <c r="EOG53" s="760">
        <f t="shared" si="94"/>
        <v>1.5674712436247427E+52</v>
      </c>
      <c r="EOH53" s="760">
        <f t="shared" si="94"/>
        <v>1.614495380933485E+52</v>
      </c>
      <c r="EOI53" s="760">
        <f t="shared" si="94"/>
        <v>1.6629302423614896E+52</v>
      </c>
      <c r="EOJ53" s="760">
        <f t="shared" si="94"/>
        <v>1.7128181496323343E+52</v>
      </c>
      <c r="EOK53" s="760">
        <f t="shared" si="94"/>
        <v>1.7642026941213045E+52</v>
      </c>
      <c r="EOL53" s="760">
        <f t="shared" si="94"/>
        <v>1.8171287749449436E+52</v>
      </c>
      <c r="EOM53" s="760">
        <f t="shared" ref="EOM53:EQX53" si="95">+EOL53*$C$53</f>
        <v>1.8716426381932919E+52</v>
      </c>
      <c r="EON53" s="760">
        <f t="shared" si="95"/>
        <v>1.9277919173390908E+52</v>
      </c>
      <c r="EOO53" s="760">
        <f t="shared" si="95"/>
        <v>1.9856256748592636E+52</v>
      </c>
      <c r="EOP53" s="760">
        <f t="shared" si="95"/>
        <v>2.0451944451050416E+52</v>
      </c>
      <c r="EOQ53" s="760">
        <f t="shared" si="95"/>
        <v>2.1065502784581929E+52</v>
      </c>
      <c r="EOR53" s="760">
        <f t="shared" si="95"/>
        <v>2.1697467868119389E+52</v>
      </c>
      <c r="EOS53" s="760">
        <f t="shared" si="95"/>
        <v>2.2348391904162972E+52</v>
      </c>
      <c r="EOT53" s="760">
        <f t="shared" si="95"/>
        <v>2.3018843661287862E+52</v>
      </c>
      <c r="EOU53" s="760">
        <f t="shared" si="95"/>
        <v>2.3709408971126498E+52</v>
      </c>
      <c r="EOV53" s="760">
        <f t="shared" si="95"/>
        <v>2.4420691240260296E+52</v>
      </c>
      <c r="EOW53" s="760">
        <f t="shared" si="95"/>
        <v>2.5153311977468104E+52</v>
      </c>
      <c r="EOX53" s="760">
        <f t="shared" si="95"/>
        <v>2.5907911336792148E+52</v>
      </c>
      <c r="EOY53" s="760">
        <f t="shared" si="95"/>
        <v>2.6685148676895915E+52</v>
      </c>
      <c r="EOZ53" s="760">
        <f t="shared" si="95"/>
        <v>2.7485703137202791E+52</v>
      </c>
      <c r="EPA53" s="760">
        <f t="shared" si="95"/>
        <v>2.8310274231318878E+52</v>
      </c>
      <c r="EPB53" s="760">
        <f t="shared" si="95"/>
        <v>2.9159582458258446E+52</v>
      </c>
      <c r="EPC53" s="760">
        <f t="shared" si="95"/>
        <v>3.0034369932006203E+52</v>
      </c>
      <c r="EPD53" s="760">
        <f t="shared" si="95"/>
        <v>3.0935401029966387E+52</v>
      </c>
      <c r="EPE53" s="760">
        <f t="shared" si="95"/>
        <v>3.186346306086538E+52</v>
      </c>
      <c r="EPF53" s="760">
        <f t="shared" si="95"/>
        <v>3.2819366952691341E+52</v>
      </c>
      <c r="EPG53" s="760">
        <f t="shared" si="95"/>
        <v>3.380394796127208E+52</v>
      </c>
      <c r="EPH53" s="760">
        <f t="shared" si="95"/>
        <v>3.4818066400110245E+52</v>
      </c>
      <c r="EPI53" s="760">
        <f t="shared" si="95"/>
        <v>3.5862608392113555E+52</v>
      </c>
      <c r="EPJ53" s="760">
        <f t="shared" si="95"/>
        <v>3.6938486643876962E+52</v>
      </c>
      <c r="EPK53" s="760">
        <f t="shared" si="95"/>
        <v>3.8046641243193271E+52</v>
      </c>
      <c r="EPL53" s="760">
        <f t="shared" si="95"/>
        <v>3.9188040480489072E+52</v>
      </c>
      <c r="EPM53" s="760">
        <f t="shared" si="95"/>
        <v>4.0363681694903743E+52</v>
      </c>
      <c r="EPN53" s="760">
        <f t="shared" si="95"/>
        <v>4.1574592145750856E+52</v>
      </c>
      <c r="EPO53" s="760">
        <f t="shared" si="95"/>
        <v>4.2821829910123383E+52</v>
      </c>
      <c r="EPP53" s="760">
        <f t="shared" si="95"/>
        <v>4.4106484807427085E+52</v>
      </c>
      <c r="EPQ53" s="760">
        <f t="shared" si="95"/>
        <v>4.5429679351649897E+52</v>
      </c>
      <c r="EPR53" s="760">
        <f t="shared" si="95"/>
        <v>4.6792569732199397E+52</v>
      </c>
      <c r="EPS53" s="760">
        <f t="shared" si="95"/>
        <v>4.8196346824165379E+52</v>
      </c>
      <c r="EPT53" s="760">
        <f t="shared" si="95"/>
        <v>4.9642237228890346E+52</v>
      </c>
      <c r="EPU53" s="760">
        <f t="shared" si="95"/>
        <v>5.1131504345757055E+52</v>
      </c>
      <c r="EPV53" s="760">
        <f t="shared" si="95"/>
        <v>5.2665449476129774E+52</v>
      </c>
      <c r="EPW53" s="760">
        <f t="shared" si="95"/>
        <v>5.4245412960413665E+52</v>
      </c>
      <c r="EPX53" s="760">
        <f t="shared" si="95"/>
        <v>5.5872775349226074E+52</v>
      </c>
      <c r="EPY53" s="760">
        <f t="shared" si="95"/>
        <v>5.7548958609702854E+52</v>
      </c>
      <c r="EPZ53" s="760">
        <f t="shared" si="95"/>
        <v>5.9275427367993937E+52</v>
      </c>
      <c r="EQA53" s="760">
        <f t="shared" si="95"/>
        <v>6.1053690189033757E+52</v>
      </c>
      <c r="EQB53" s="760">
        <f t="shared" si="95"/>
        <v>6.288530089470477E+52</v>
      </c>
      <c r="EQC53" s="760">
        <f t="shared" si="95"/>
        <v>6.4771859921545919E+52</v>
      </c>
      <c r="EQD53" s="760">
        <f t="shared" si="95"/>
        <v>6.6715015719192303E+52</v>
      </c>
      <c r="EQE53" s="760">
        <f t="shared" si="95"/>
        <v>6.8716466190768076E+52</v>
      </c>
      <c r="EQF53" s="760">
        <f t="shared" si="95"/>
        <v>7.0777960176491123E+52</v>
      </c>
      <c r="EQG53" s="760">
        <f t="shared" si="95"/>
        <v>7.2901298981785863E+52</v>
      </c>
      <c r="EQH53" s="760">
        <f t="shared" si="95"/>
        <v>7.5088337951239438E+52</v>
      </c>
      <c r="EQI53" s="760">
        <f t="shared" si="95"/>
        <v>7.734098808977662E+52</v>
      </c>
      <c r="EQJ53" s="760">
        <f t="shared" si="95"/>
        <v>7.9661217732469919E+52</v>
      </c>
      <c r="EQK53" s="760">
        <f t="shared" si="95"/>
        <v>8.2051054264444013E+52</v>
      </c>
      <c r="EQL53" s="760">
        <f t="shared" si="95"/>
        <v>8.4512585892377338E+52</v>
      </c>
      <c r="EQM53" s="760">
        <f t="shared" si="95"/>
        <v>8.7047963469148658E+52</v>
      </c>
      <c r="EQN53" s="760">
        <f t="shared" si="95"/>
        <v>8.965940237322312E+52</v>
      </c>
      <c r="EQO53" s="760">
        <f t="shared" si="95"/>
        <v>9.2349184444419815E+52</v>
      </c>
      <c r="EQP53" s="760">
        <f t="shared" si="95"/>
        <v>9.5119659977752417E+52</v>
      </c>
      <c r="EQQ53" s="760">
        <f t="shared" si="95"/>
        <v>9.7973249777084995E+52</v>
      </c>
      <c r="EQR53" s="760">
        <f t="shared" si="95"/>
        <v>1.0091244727039754E+53</v>
      </c>
      <c r="EQS53" s="760">
        <f t="shared" si="95"/>
        <v>1.0393982068850946E+53</v>
      </c>
      <c r="EQT53" s="760">
        <f t="shared" si="95"/>
        <v>1.0705801530916474E+53</v>
      </c>
      <c r="EQU53" s="760">
        <f t="shared" si="95"/>
        <v>1.1026975576843968E+53</v>
      </c>
      <c r="EQV53" s="760">
        <f t="shared" si="95"/>
        <v>1.1357784844149287E+53</v>
      </c>
      <c r="EQW53" s="760">
        <f t="shared" si="95"/>
        <v>1.1698518389473766E+53</v>
      </c>
      <c r="EQX53" s="760">
        <f t="shared" si="95"/>
        <v>1.204947394115798E+53</v>
      </c>
      <c r="EQY53" s="760">
        <f t="shared" ref="EQY53:ETJ53" si="96">+EQX53*$C$53</f>
        <v>1.241095815939272E+53</v>
      </c>
      <c r="EQZ53" s="760">
        <f t="shared" si="96"/>
        <v>1.2783286904174501E+53</v>
      </c>
      <c r="ERA53" s="760">
        <f t="shared" si="96"/>
        <v>1.3166785511299737E+53</v>
      </c>
      <c r="ERB53" s="760">
        <f t="shared" si="96"/>
        <v>1.3561789076638729E+53</v>
      </c>
      <c r="ERC53" s="760">
        <f t="shared" si="96"/>
        <v>1.3968642748937891E+53</v>
      </c>
      <c r="ERD53" s="760">
        <f t="shared" si="96"/>
        <v>1.4387702031406029E+53</v>
      </c>
      <c r="ERE53" s="760">
        <f t="shared" si="96"/>
        <v>1.4819333092348211E+53</v>
      </c>
      <c r="ERF53" s="760">
        <f t="shared" si="96"/>
        <v>1.5263913085118657E+53</v>
      </c>
      <c r="ERG53" s="760">
        <f t="shared" si="96"/>
        <v>1.5721830477672217E+53</v>
      </c>
      <c r="ERH53" s="760">
        <f t="shared" si="96"/>
        <v>1.6193485392002383E+53</v>
      </c>
      <c r="ERI53" s="760">
        <f t="shared" si="96"/>
        <v>1.6679289953762456E+53</v>
      </c>
      <c r="ERJ53" s="760">
        <f t="shared" si="96"/>
        <v>1.7179668652375331E+53</v>
      </c>
      <c r="ERK53" s="760">
        <f t="shared" si="96"/>
        <v>1.7695058711946592E+53</v>
      </c>
      <c r="ERL53" s="760">
        <f t="shared" si="96"/>
        <v>1.822591047330499E+53</v>
      </c>
      <c r="ERM53" s="760">
        <f t="shared" si="96"/>
        <v>1.8772687787504141E+53</v>
      </c>
      <c r="ERN53" s="760">
        <f t="shared" si="96"/>
        <v>1.9335868421129265E+53</v>
      </c>
      <c r="ERO53" s="760">
        <f t="shared" si="96"/>
        <v>1.9915944473763143E+53</v>
      </c>
      <c r="ERP53" s="760">
        <f t="shared" si="96"/>
        <v>2.0513422807976039E+53</v>
      </c>
      <c r="ERQ53" s="760">
        <f t="shared" si="96"/>
        <v>2.1128825492215323E+53</v>
      </c>
      <c r="ERR53" s="760">
        <f t="shared" si="96"/>
        <v>2.1762690256981781E+53</v>
      </c>
      <c r="ERS53" s="760">
        <f t="shared" si="96"/>
        <v>2.2415570964691235E+53</v>
      </c>
      <c r="ERT53" s="760">
        <f t="shared" si="96"/>
        <v>2.3088038093631973E+53</v>
      </c>
      <c r="ERU53" s="760">
        <f t="shared" si="96"/>
        <v>2.3780679236440932E+53</v>
      </c>
      <c r="ERV53" s="760">
        <f t="shared" si="96"/>
        <v>2.4494099613534159E+53</v>
      </c>
      <c r="ERW53" s="760">
        <f t="shared" si="96"/>
        <v>2.5228922601940186E+53</v>
      </c>
      <c r="ERX53" s="760">
        <f t="shared" si="96"/>
        <v>2.5985790279998393E+53</v>
      </c>
      <c r="ERY53" s="760">
        <f t="shared" si="96"/>
        <v>2.6765363988398345E+53</v>
      </c>
      <c r="ERZ53" s="760">
        <f t="shared" si="96"/>
        <v>2.7568324908050295E+53</v>
      </c>
      <c r="ESA53" s="760">
        <f t="shared" si="96"/>
        <v>2.8395374655291804E+53</v>
      </c>
      <c r="ESB53" s="760">
        <f t="shared" si="96"/>
        <v>2.9247235894950557E+53</v>
      </c>
      <c r="ESC53" s="760">
        <f t="shared" si="96"/>
        <v>3.0124652971799073E+53</v>
      </c>
      <c r="ESD53" s="760">
        <f t="shared" si="96"/>
        <v>3.1028392560953045E+53</v>
      </c>
      <c r="ESE53" s="760">
        <f t="shared" si="96"/>
        <v>3.1959244337781639E+53</v>
      </c>
      <c r="ESF53" s="760">
        <f t="shared" si="96"/>
        <v>3.2918021667915088E+53</v>
      </c>
      <c r="ESG53" s="760">
        <f t="shared" si="96"/>
        <v>3.390556231795254E+53</v>
      </c>
      <c r="ESH53" s="760">
        <f t="shared" si="96"/>
        <v>3.4922729187491119E+53</v>
      </c>
      <c r="ESI53" s="760">
        <f t="shared" si="96"/>
        <v>3.5970411063115854E+53</v>
      </c>
      <c r="ESJ53" s="760">
        <f t="shared" si="96"/>
        <v>3.7049523395009329E+53</v>
      </c>
      <c r="ESK53" s="760">
        <f t="shared" si="96"/>
        <v>3.816100909685961E+53</v>
      </c>
      <c r="ESL53" s="760">
        <f t="shared" si="96"/>
        <v>3.9305839369765401E+53</v>
      </c>
      <c r="ESM53" s="760">
        <f t="shared" si="96"/>
        <v>4.0485014550858367E+53</v>
      </c>
      <c r="ESN53" s="760">
        <f t="shared" si="96"/>
        <v>4.1699564987384115E+53</v>
      </c>
      <c r="ESO53" s="760">
        <f t="shared" si="96"/>
        <v>4.2950551937005642E+53</v>
      </c>
      <c r="ESP53" s="760">
        <f t="shared" si="96"/>
        <v>4.4239068495115809E+53</v>
      </c>
      <c r="ESQ53" s="760">
        <f t="shared" si="96"/>
        <v>4.5566240549969287E+53</v>
      </c>
      <c r="ESR53" s="760">
        <f t="shared" si="96"/>
        <v>4.6933227766468365E+53</v>
      </c>
      <c r="ESS53" s="760">
        <f t="shared" si="96"/>
        <v>4.8341224599462418E+53</v>
      </c>
      <c r="EST53" s="760">
        <f t="shared" si="96"/>
        <v>4.9791461337446295E+53</v>
      </c>
      <c r="ESU53" s="760">
        <f t="shared" si="96"/>
        <v>5.1285205177569689E+53</v>
      </c>
      <c r="ESV53" s="760">
        <f t="shared" si="96"/>
        <v>5.2823761332896777E+53</v>
      </c>
      <c r="ESW53" s="760">
        <f t="shared" si="96"/>
        <v>5.4408474172883682E+53</v>
      </c>
      <c r="ESX53" s="760">
        <f t="shared" si="96"/>
        <v>5.604072839807019E+53</v>
      </c>
      <c r="ESY53" s="760">
        <f t="shared" si="96"/>
        <v>5.7721950250012296E+53</v>
      </c>
      <c r="ESZ53" s="760">
        <f t="shared" si="96"/>
        <v>5.9453608757512667E+53</v>
      </c>
      <c r="ETA53" s="760">
        <f t="shared" si="96"/>
        <v>6.1237217020238048E+53</v>
      </c>
      <c r="ETB53" s="760">
        <f t="shared" si="96"/>
        <v>6.3074333530845192E+53</v>
      </c>
      <c r="ETC53" s="760">
        <f t="shared" si="96"/>
        <v>6.4966563536770548E+53</v>
      </c>
      <c r="ETD53" s="760">
        <f t="shared" si="96"/>
        <v>6.6915560442873665E+53</v>
      </c>
      <c r="ETE53" s="760">
        <f t="shared" si="96"/>
        <v>6.8923027256159875E+53</v>
      </c>
      <c r="ETF53" s="760">
        <f t="shared" si="96"/>
        <v>7.0990718073844676E+53</v>
      </c>
      <c r="ETG53" s="760">
        <f t="shared" si="96"/>
        <v>7.3120439616060014E+53</v>
      </c>
      <c r="ETH53" s="760">
        <f t="shared" si="96"/>
        <v>7.5314052804541813E+53</v>
      </c>
      <c r="ETI53" s="760">
        <f t="shared" si="96"/>
        <v>7.7573474388678075E+53</v>
      </c>
      <c r="ETJ53" s="760">
        <f t="shared" si="96"/>
        <v>7.9900678620338422E+53</v>
      </c>
      <c r="ETK53" s="760">
        <f t="shared" ref="ETK53:EVV53" si="97">+ETJ53*$C$53</f>
        <v>8.2297698978948585E+53</v>
      </c>
      <c r="ETL53" s="760">
        <f t="shared" si="97"/>
        <v>8.4766629948317046E+53</v>
      </c>
      <c r="ETM53" s="760">
        <f t="shared" si="97"/>
        <v>8.7309628846766556E+53</v>
      </c>
      <c r="ETN53" s="760">
        <f t="shared" si="97"/>
        <v>8.9928917712169552E+53</v>
      </c>
      <c r="ETO53" s="760">
        <f t="shared" si="97"/>
        <v>9.2626785243534647E+53</v>
      </c>
      <c r="ETP53" s="760">
        <f t="shared" si="97"/>
        <v>9.5405588800840681E+53</v>
      </c>
      <c r="ETQ53" s="760">
        <f t="shared" si="97"/>
        <v>9.8267756464865911E+53</v>
      </c>
      <c r="ETR53" s="760">
        <f t="shared" si="97"/>
        <v>1.0121578915881188E+54</v>
      </c>
      <c r="ETS53" s="760">
        <f t="shared" si="97"/>
        <v>1.0425226283357625E+54</v>
      </c>
      <c r="ETT53" s="760">
        <f t="shared" si="97"/>
        <v>1.0737983071858354E+54</v>
      </c>
      <c r="ETU53" s="760">
        <f t="shared" si="97"/>
        <v>1.1060122564014105E+54</v>
      </c>
      <c r="ETV53" s="760">
        <f t="shared" si="97"/>
        <v>1.1391926240934529E+54</v>
      </c>
      <c r="ETW53" s="760">
        <f t="shared" si="97"/>
        <v>1.1733684028162565E+54</v>
      </c>
      <c r="ETX53" s="760">
        <f t="shared" si="97"/>
        <v>1.2085694549007442E+54</v>
      </c>
      <c r="ETY53" s="760">
        <f t="shared" si="97"/>
        <v>1.2448265385477666E+54</v>
      </c>
      <c r="ETZ53" s="760">
        <f t="shared" si="97"/>
        <v>1.2821713347041998E+54</v>
      </c>
      <c r="EUA53" s="760">
        <f t="shared" si="97"/>
        <v>1.3206364747453258E+54</v>
      </c>
      <c r="EUB53" s="760">
        <f t="shared" si="97"/>
        <v>1.3602555689876856E+54</v>
      </c>
      <c r="EUC53" s="760">
        <f t="shared" si="97"/>
        <v>1.4010632360573161E+54</v>
      </c>
      <c r="EUD53" s="760">
        <f t="shared" si="97"/>
        <v>1.4430951331390356E+54</v>
      </c>
      <c r="EUE53" s="760">
        <f t="shared" si="97"/>
        <v>1.4863879871332067E+54</v>
      </c>
      <c r="EUF53" s="760">
        <f t="shared" si="97"/>
        <v>1.530979626747203E+54</v>
      </c>
      <c r="EUG53" s="760">
        <f t="shared" si="97"/>
        <v>1.5769090155496191E+54</v>
      </c>
      <c r="EUH53" s="760">
        <f t="shared" si="97"/>
        <v>1.6242162860161079E+54</v>
      </c>
      <c r="EUI53" s="760">
        <f t="shared" si="97"/>
        <v>1.6729427745965912E+54</v>
      </c>
      <c r="EUJ53" s="760">
        <f t="shared" si="97"/>
        <v>1.7231310578344888E+54</v>
      </c>
      <c r="EUK53" s="760">
        <f t="shared" si="97"/>
        <v>1.7748249895695236E+54</v>
      </c>
      <c r="EUL53" s="760">
        <f t="shared" si="97"/>
        <v>1.8280697392566093E+54</v>
      </c>
      <c r="EUM53" s="760">
        <f t="shared" si="97"/>
        <v>1.8829118314343077E+54</v>
      </c>
      <c r="EUN53" s="760">
        <f t="shared" si="97"/>
        <v>1.9393991863773371E+54</v>
      </c>
      <c r="EUO53" s="760">
        <f t="shared" si="97"/>
        <v>1.9975811619686573E+54</v>
      </c>
      <c r="EUP53" s="760">
        <f t="shared" si="97"/>
        <v>2.0575085968277169E+54</v>
      </c>
      <c r="EUQ53" s="760">
        <f t="shared" si="97"/>
        <v>2.1192338547325486E+54</v>
      </c>
      <c r="EUR53" s="760">
        <f t="shared" si="97"/>
        <v>2.1828108703745251E+54</v>
      </c>
      <c r="EUS53" s="760">
        <f t="shared" si="97"/>
        <v>2.2482951964857609E+54</v>
      </c>
      <c r="EUT53" s="760">
        <f t="shared" si="97"/>
        <v>2.3157440523803336E+54</v>
      </c>
      <c r="EUU53" s="760">
        <f t="shared" si="97"/>
        <v>2.3852163739517438E+54</v>
      </c>
      <c r="EUV53" s="760">
        <f t="shared" si="97"/>
        <v>2.456772865170296E+54</v>
      </c>
      <c r="EUW53" s="760">
        <f t="shared" si="97"/>
        <v>2.530476051125405E+54</v>
      </c>
      <c r="EUX53" s="760">
        <f t="shared" si="97"/>
        <v>2.6063903326591671E+54</v>
      </c>
      <c r="EUY53" s="760">
        <f t="shared" si="97"/>
        <v>2.6845820426389423E+54</v>
      </c>
      <c r="EUZ53" s="760">
        <f t="shared" si="97"/>
        <v>2.7651195039181107E+54</v>
      </c>
      <c r="EVA53" s="760">
        <f t="shared" si="97"/>
        <v>2.848073089035654E+54</v>
      </c>
      <c r="EVB53" s="760">
        <f t="shared" si="97"/>
        <v>2.9335152817067238E+54</v>
      </c>
      <c r="EVC53" s="760">
        <f t="shared" si="97"/>
        <v>3.0215207401579256E+54</v>
      </c>
      <c r="EVD53" s="760">
        <f t="shared" si="97"/>
        <v>3.1121663623626636E+54</v>
      </c>
      <c r="EVE53" s="760">
        <f t="shared" si="97"/>
        <v>3.2055313532335433E+54</v>
      </c>
      <c r="EVF53" s="760">
        <f t="shared" si="97"/>
        <v>3.3016972938305498E+54</v>
      </c>
      <c r="EVG53" s="760">
        <f t="shared" si="97"/>
        <v>3.4007482126454662E+54</v>
      </c>
      <c r="EVH53" s="760">
        <f t="shared" si="97"/>
        <v>3.5027706590248301E+54</v>
      </c>
      <c r="EVI53" s="760">
        <f t="shared" si="97"/>
        <v>3.6078537787955752E+54</v>
      </c>
      <c r="EVJ53" s="760">
        <f t="shared" si="97"/>
        <v>3.7160893921594425E+54</v>
      </c>
      <c r="EVK53" s="760">
        <f t="shared" si="97"/>
        <v>3.8275720739242258E+54</v>
      </c>
      <c r="EVL53" s="760">
        <f t="shared" si="97"/>
        <v>3.9423992361419523E+54</v>
      </c>
      <c r="EVM53" s="760">
        <f t="shared" si="97"/>
        <v>4.0606712132262107E+54</v>
      </c>
      <c r="EVN53" s="760">
        <f t="shared" si="97"/>
        <v>4.1824913496229973E+54</v>
      </c>
      <c r="EVO53" s="760">
        <f t="shared" si="97"/>
        <v>4.3079660901116876E+54</v>
      </c>
      <c r="EVP53" s="760">
        <f t="shared" si="97"/>
        <v>4.4372050728150383E+54</v>
      </c>
      <c r="EVQ53" s="760">
        <f t="shared" si="97"/>
        <v>4.5703212249994896E+54</v>
      </c>
      <c r="EVR53" s="760">
        <f t="shared" si="97"/>
        <v>4.7074308617494745E+54</v>
      </c>
      <c r="EVS53" s="760">
        <f t="shared" si="97"/>
        <v>4.8486537876019591E+54</v>
      </c>
      <c r="EVT53" s="760">
        <f t="shared" si="97"/>
        <v>4.9941134012300181E+54</v>
      </c>
      <c r="EVU53" s="760">
        <f t="shared" si="97"/>
        <v>5.1439368032669185E+54</v>
      </c>
      <c r="EVV53" s="760">
        <f t="shared" si="97"/>
        <v>5.2982549073649261E+54</v>
      </c>
      <c r="EVW53" s="760">
        <f t="shared" ref="EVW53:EYH53" si="98">+EVV53*$C$53</f>
        <v>5.4572025545858742E+54</v>
      </c>
      <c r="EVX53" s="760">
        <f t="shared" si="98"/>
        <v>5.6209186312234508E+54</v>
      </c>
      <c r="EVY53" s="760">
        <f t="shared" si="98"/>
        <v>5.7895461901601542E+54</v>
      </c>
      <c r="EVZ53" s="760">
        <f t="shared" si="98"/>
        <v>5.9632325758649592E+54</v>
      </c>
      <c r="EWA53" s="760">
        <f t="shared" si="98"/>
        <v>6.1421295531409079E+54</v>
      </c>
      <c r="EWB53" s="760">
        <f t="shared" si="98"/>
        <v>6.3263934397351359E+54</v>
      </c>
      <c r="EWC53" s="760">
        <f t="shared" si="98"/>
        <v>6.5161852429271901E+54</v>
      </c>
      <c r="EWD53" s="760">
        <f t="shared" si="98"/>
        <v>6.7116708002150062E+54</v>
      </c>
      <c r="EWE53" s="760">
        <f t="shared" si="98"/>
        <v>6.913020924221456E+54</v>
      </c>
      <c r="EWF53" s="760">
        <f t="shared" si="98"/>
        <v>7.1204115519481002E+54</v>
      </c>
      <c r="EWG53" s="760">
        <f t="shared" si="98"/>
        <v>7.3340238985065432E+54</v>
      </c>
      <c r="EWH53" s="760">
        <f t="shared" si="98"/>
        <v>7.5540446154617392E+54</v>
      </c>
      <c r="EWI53" s="760">
        <f t="shared" si="98"/>
        <v>7.7806659539255922E+54</v>
      </c>
      <c r="EWJ53" s="760">
        <f t="shared" si="98"/>
        <v>8.0140859325433597E+54</v>
      </c>
      <c r="EWK53" s="760">
        <f t="shared" si="98"/>
        <v>8.2545085105196601E+54</v>
      </c>
      <c r="EWL53" s="760">
        <f t="shared" si="98"/>
        <v>8.5021437658352496E+54</v>
      </c>
      <c r="EWM53" s="760">
        <f t="shared" si="98"/>
        <v>8.7572080788103078E+54</v>
      </c>
      <c r="EWN53" s="760">
        <f t="shared" si="98"/>
        <v>9.0199243211746167E+54</v>
      </c>
      <c r="EWO53" s="760">
        <f t="shared" si="98"/>
        <v>9.2905220508098556E+54</v>
      </c>
      <c r="EWP53" s="760">
        <f t="shared" si="98"/>
        <v>9.569237712334152E+54</v>
      </c>
      <c r="EWQ53" s="760">
        <f t="shared" si="98"/>
        <v>9.8563148437041762E+54</v>
      </c>
      <c r="EWR53" s="760">
        <f t="shared" si="98"/>
        <v>1.0152004289015301E+55</v>
      </c>
      <c r="EWS53" s="760">
        <f t="shared" si="98"/>
        <v>1.045656441768576E+55</v>
      </c>
      <c r="EWT53" s="760">
        <f t="shared" si="98"/>
        <v>1.0770261350216334E+55</v>
      </c>
      <c r="EWU53" s="760">
        <f t="shared" si="98"/>
        <v>1.1093369190722824E+55</v>
      </c>
      <c r="EWV53" s="760">
        <f t="shared" si="98"/>
        <v>1.1426170266444509E+55</v>
      </c>
      <c r="EWW53" s="760">
        <f t="shared" si="98"/>
        <v>1.1768955374437845E+55</v>
      </c>
      <c r="EWX53" s="760">
        <f t="shared" si="98"/>
        <v>1.2122024035670981E+55</v>
      </c>
      <c r="EWY53" s="760">
        <f t="shared" si="98"/>
        <v>1.2485684756741111E+55</v>
      </c>
      <c r="EWZ53" s="760">
        <f t="shared" si="98"/>
        <v>1.2860255299443346E+55</v>
      </c>
      <c r="EXA53" s="760">
        <f t="shared" si="98"/>
        <v>1.3246062958426647E+55</v>
      </c>
      <c r="EXB53" s="760">
        <f t="shared" si="98"/>
        <v>1.3643444847179446E+55</v>
      </c>
      <c r="EXC53" s="760">
        <f t="shared" si="98"/>
        <v>1.4052748192594831E+55</v>
      </c>
      <c r="EXD53" s="760">
        <f t="shared" si="98"/>
        <v>1.4474330638372675E+55</v>
      </c>
      <c r="EXE53" s="760">
        <f t="shared" si="98"/>
        <v>1.4908560557523854E+55</v>
      </c>
      <c r="EXF53" s="760">
        <f t="shared" si="98"/>
        <v>1.5355817374249569E+55</v>
      </c>
      <c r="EXG53" s="760">
        <f t="shared" si="98"/>
        <v>1.5816491895477055E+55</v>
      </c>
      <c r="EXH53" s="760">
        <f t="shared" si="98"/>
        <v>1.6290986652341367E+55</v>
      </c>
      <c r="EXI53" s="760">
        <f t="shared" si="98"/>
        <v>1.6779716251911609E+55</v>
      </c>
      <c r="EXJ53" s="760">
        <f t="shared" si="98"/>
        <v>1.7283107739468959E+55</v>
      </c>
      <c r="EXK53" s="760">
        <f t="shared" si="98"/>
        <v>1.7801600971653028E+55</v>
      </c>
      <c r="EXL53" s="760">
        <f t="shared" si="98"/>
        <v>1.8335649000802618E+55</v>
      </c>
      <c r="EXM53" s="760">
        <f t="shared" si="98"/>
        <v>1.8885718470826697E+55</v>
      </c>
      <c r="EXN53" s="760">
        <f t="shared" si="98"/>
        <v>1.9452290024951497E+55</v>
      </c>
      <c r="EXO53" s="760">
        <f t="shared" si="98"/>
        <v>2.0035858725700043E+55</v>
      </c>
      <c r="EXP53" s="760">
        <f t="shared" si="98"/>
        <v>2.0636934487471045E+55</v>
      </c>
      <c r="EXQ53" s="760">
        <f t="shared" si="98"/>
        <v>2.1256042522095178E+55</v>
      </c>
      <c r="EXR53" s="760">
        <f t="shared" si="98"/>
        <v>2.1893723797758035E+55</v>
      </c>
      <c r="EXS53" s="760">
        <f t="shared" si="98"/>
        <v>2.2550535511690777E+55</v>
      </c>
      <c r="EXT53" s="760">
        <f t="shared" si="98"/>
        <v>2.3227051577041501E+55</v>
      </c>
      <c r="EXU53" s="760">
        <f t="shared" si="98"/>
        <v>2.3923863124352746E+55</v>
      </c>
      <c r="EXV53" s="760">
        <f t="shared" si="98"/>
        <v>2.464157901808333E+55</v>
      </c>
      <c r="EXW53" s="760">
        <f t="shared" si="98"/>
        <v>2.5380826388625831E+55</v>
      </c>
      <c r="EXX53" s="760">
        <f t="shared" si="98"/>
        <v>2.6142251180284604E+55</v>
      </c>
      <c r="EXY53" s="760">
        <f t="shared" si="98"/>
        <v>2.6926518715693142E+55</v>
      </c>
      <c r="EXZ53" s="760">
        <f t="shared" si="98"/>
        <v>2.7734314277163937E+55</v>
      </c>
      <c r="EYA53" s="760">
        <f t="shared" si="98"/>
        <v>2.8566343705478857E+55</v>
      </c>
      <c r="EYB53" s="760">
        <f t="shared" si="98"/>
        <v>2.9423334016643225E+55</v>
      </c>
      <c r="EYC53" s="760">
        <f t="shared" si="98"/>
        <v>3.0306034037142522E+55</v>
      </c>
      <c r="EYD53" s="760">
        <f t="shared" si="98"/>
        <v>3.1215215058256797E+55</v>
      </c>
      <c r="EYE53" s="760">
        <f t="shared" si="98"/>
        <v>3.2151671510004503E+55</v>
      </c>
      <c r="EYF53" s="760">
        <f t="shared" si="98"/>
        <v>3.3116221655304639E+55</v>
      </c>
      <c r="EYG53" s="760">
        <f t="shared" si="98"/>
        <v>3.4109708304963778E+55</v>
      </c>
      <c r="EYH53" s="760">
        <f t="shared" si="98"/>
        <v>3.5132999554112691E+55</v>
      </c>
      <c r="EYI53" s="760">
        <f t="shared" ref="EYI53:FAT53" si="99">+EYH53*$C$53</f>
        <v>3.6186989540736075E+55</v>
      </c>
      <c r="EYJ53" s="760">
        <f t="shared" si="99"/>
        <v>3.7272599226958157E+55</v>
      </c>
      <c r="EYK53" s="760">
        <f t="shared" si="99"/>
        <v>3.8390777203766903E+55</v>
      </c>
      <c r="EYL53" s="760">
        <f t="shared" si="99"/>
        <v>3.954250051987991E+55</v>
      </c>
      <c r="EYM53" s="760">
        <f t="shared" si="99"/>
        <v>4.0728775535476309E+55</v>
      </c>
      <c r="EYN53" s="760">
        <f t="shared" si="99"/>
        <v>4.1950638801540597E+55</v>
      </c>
      <c r="EYO53" s="760">
        <f t="shared" si="99"/>
        <v>4.3209157965586817E+55</v>
      </c>
      <c r="EYP53" s="760">
        <f t="shared" si="99"/>
        <v>4.4505432704554422E+55</v>
      </c>
      <c r="EYQ53" s="760">
        <f t="shared" si="99"/>
        <v>4.5840595685691056E+55</v>
      </c>
      <c r="EYR53" s="760">
        <f t="shared" si="99"/>
        <v>4.721581355626179E+55</v>
      </c>
      <c r="EYS53" s="760">
        <f t="shared" si="99"/>
        <v>4.8632287962949646E+55</v>
      </c>
      <c r="EYT53" s="760">
        <f t="shared" si="99"/>
        <v>5.0091256601838135E+55</v>
      </c>
      <c r="EYU53" s="760">
        <f t="shared" si="99"/>
        <v>5.1593994299893282E+55</v>
      </c>
      <c r="EYV53" s="760">
        <f t="shared" si="99"/>
        <v>5.314181412889008E+55</v>
      </c>
      <c r="EYW53" s="760">
        <f t="shared" si="99"/>
        <v>5.4736068552756782E+55</v>
      </c>
      <c r="EYX53" s="760">
        <f t="shared" si="99"/>
        <v>5.6378150609339483E+55</v>
      </c>
      <c r="EYY53" s="760">
        <f t="shared" si="99"/>
        <v>5.8069495127619675E+55</v>
      </c>
      <c r="EYZ53" s="760">
        <f t="shared" si="99"/>
        <v>5.9811579981448263E+55</v>
      </c>
      <c r="EZA53" s="760">
        <f t="shared" si="99"/>
        <v>6.1605927380891708E+55</v>
      </c>
      <c r="EZB53" s="760">
        <f t="shared" si="99"/>
        <v>6.3454105202318459E+55</v>
      </c>
      <c r="EZC53" s="760">
        <f t="shared" si="99"/>
        <v>6.5357728358388017E+55</v>
      </c>
      <c r="EZD53" s="760">
        <f t="shared" si="99"/>
        <v>6.7318460209139655E+55</v>
      </c>
      <c r="EZE53" s="760">
        <f t="shared" si="99"/>
        <v>6.9338014015413846E+55</v>
      </c>
      <c r="EZF53" s="760">
        <f t="shared" si="99"/>
        <v>7.1418154435876268E+55</v>
      </c>
      <c r="EZG53" s="760">
        <f t="shared" si="99"/>
        <v>7.3560699068952554E+55</v>
      </c>
      <c r="EZH53" s="760">
        <f t="shared" si="99"/>
        <v>7.5767520041021129E+55</v>
      </c>
      <c r="EZI53" s="760">
        <f t="shared" si="99"/>
        <v>7.8040545642251768E+55</v>
      </c>
      <c r="EZJ53" s="760">
        <f t="shared" si="99"/>
        <v>8.0381762011519326E+55</v>
      </c>
      <c r="EZK53" s="760">
        <f t="shared" si="99"/>
        <v>8.2793214871864912E+55</v>
      </c>
      <c r="EZL53" s="760">
        <f t="shared" si="99"/>
        <v>8.5277011318020863E+55</v>
      </c>
      <c r="EZM53" s="760">
        <f t="shared" si="99"/>
        <v>8.7835321657561496E+55</v>
      </c>
      <c r="EZN53" s="760">
        <f t="shared" si="99"/>
        <v>9.0470381307288348E+55</v>
      </c>
      <c r="EZO53" s="760">
        <f t="shared" si="99"/>
        <v>9.3184492746507005E+55</v>
      </c>
      <c r="EZP53" s="760">
        <f t="shared" si="99"/>
        <v>9.5980027528902214E+55</v>
      </c>
      <c r="EZQ53" s="760">
        <f t="shared" si="99"/>
        <v>9.8859428354769284E+55</v>
      </c>
      <c r="EZR53" s="760">
        <f t="shared" si="99"/>
        <v>1.0182521120541236E+56</v>
      </c>
      <c r="EZS53" s="760">
        <f t="shared" si="99"/>
        <v>1.0487996754157472E+56</v>
      </c>
      <c r="EZT53" s="760">
        <f t="shared" si="99"/>
        <v>1.0802636656782196E+56</v>
      </c>
      <c r="EZU53" s="760">
        <f t="shared" si="99"/>
        <v>1.1126715756485663E+56</v>
      </c>
      <c r="EZV53" s="760">
        <f t="shared" si="99"/>
        <v>1.1460517229180233E+56</v>
      </c>
      <c r="EZW53" s="760">
        <f t="shared" si="99"/>
        <v>1.180433274605564E+56</v>
      </c>
      <c r="EZX53" s="760">
        <f t="shared" si="99"/>
        <v>1.2158462728437311E+56</v>
      </c>
      <c r="EZY53" s="760">
        <f t="shared" si="99"/>
        <v>1.2523216610290431E+56</v>
      </c>
      <c r="EZZ53" s="760">
        <f t="shared" si="99"/>
        <v>1.2898913108599144E+56</v>
      </c>
      <c r="FAA53" s="760">
        <f t="shared" si="99"/>
        <v>1.3285880501857119E+56</v>
      </c>
      <c r="FAB53" s="760">
        <f t="shared" si="99"/>
        <v>1.3684456916912834E+56</v>
      </c>
      <c r="FAC53" s="760">
        <f t="shared" si="99"/>
        <v>1.4094990624420219E+56</v>
      </c>
      <c r="FAD53" s="760">
        <f t="shared" si="99"/>
        <v>1.4517840343152826E+56</v>
      </c>
      <c r="FAE53" s="760">
        <f t="shared" si="99"/>
        <v>1.4953375553447411E+56</v>
      </c>
      <c r="FAF53" s="760">
        <f t="shared" si="99"/>
        <v>1.5401976820050833E+56</v>
      </c>
      <c r="FAG53" s="760">
        <f t="shared" si="99"/>
        <v>1.5864036124652358E+56</v>
      </c>
      <c r="FAH53" s="760">
        <f t="shared" si="99"/>
        <v>1.6339957208391929E+56</v>
      </c>
      <c r="FAI53" s="760">
        <f t="shared" si="99"/>
        <v>1.6830155924643688E+56</v>
      </c>
      <c r="FAJ53" s="760">
        <f t="shared" si="99"/>
        <v>1.7335060602382998E+56</v>
      </c>
      <c r="FAK53" s="760">
        <f t="shared" si="99"/>
        <v>1.7855112420454489E+56</v>
      </c>
      <c r="FAL53" s="760">
        <f t="shared" si="99"/>
        <v>1.8390765793068125E+56</v>
      </c>
      <c r="FAM53" s="760">
        <f t="shared" si="99"/>
        <v>1.894248876686017E+56</v>
      </c>
      <c r="FAN53" s="760">
        <f t="shared" si="99"/>
        <v>1.9510763429865975E+56</v>
      </c>
      <c r="FAO53" s="760">
        <f t="shared" si="99"/>
        <v>2.0096086332761957E+56</v>
      </c>
      <c r="FAP53" s="760">
        <f t="shared" si="99"/>
        <v>2.0698968922744818E+56</v>
      </c>
      <c r="FAQ53" s="760">
        <f t="shared" si="99"/>
        <v>2.1319937990427161E+56</v>
      </c>
      <c r="FAR53" s="760">
        <f t="shared" si="99"/>
        <v>2.1959536130139974E+56</v>
      </c>
      <c r="FAS53" s="760">
        <f t="shared" si="99"/>
        <v>2.2618322214044176E+56</v>
      </c>
      <c r="FAT53" s="760">
        <f t="shared" si="99"/>
        <v>2.3296871880465503E+56</v>
      </c>
      <c r="FAU53" s="760">
        <f t="shared" ref="FAU53:FDF53" si="100">+FAT53*$C$53</f>
        <v>2.3995778036879469E+56</v>
      </c>
      <c r="FAV53" s="760">
        <f t="shared" si="100"/>
        <v>2.4715651377985853E+56</v>
      </c>
      <c r="FAW53" s="760">
        <f t="shared" si="100"/>
        <v>2.5457120919325428E+56</v>
      </c>
      <c r="FAX53" s="760">
        <f t="shared" si="100"/>
        <v>2.622083454690519E+56</v>
      </c>
      <c r="FAY53" s="760">
        <f t="shared" si="100"/>
        <v>2.7007459583312347E+56</v>
      </c>
      <c r="FAZ53" s="760">
        <f t="shared" si="100"/>
        <v>2.7817683370811719E+56</v>
      </c>
      <c r="FBA53" s="760">
        <f t="shared" si="100"/>
        <v>2.8652213871936072E+56</v>
      </c>
      <c r="FBB53" s="760">
        <f t="shared" si="100"/>
        <v>2.9511780288094156E+56</v>
      </c>
      <c r="FBC53" s="760">
        <f t="shared" si="100"/>
        <v>3.0397133696736983E+56</v>
      </c>
      <c r="FBD53" s="760">
        <f t="shared" si="100"/>
        <v>3.1309047707639094E+56</v>
      </c>
      <c r="FBE53" s="760">
        <f t="shared" si="100"/>
        <v>3.2248319138868267E+56</v>
      </c>
      <c r="FBF53" s="760">
        <f t="shared" si="100"/>
        <v>3.3215768713034316E+56</v>
      </c>
      <c r="FBG53" s="760">
        <f t="shared" si="100"/>
        <v>3.4212241774425345E+56</v>
      </c>
      <c r="FBH53" s="760">
        <f t="shared" si="100"/>
        <v>3.5238609027658106E+56</v>
      </c>
      <c r="FBI53" s="760">
        <f t="shared" si="100"/>
        <v>3.629576729848785E+56</v>
      </c>
      <c r="FBJ53" s="760">
        <f t="shared" si="100"/>
        <v>3.7384640317442486E+56</v>
      </c>
      <c r="FBK53" s="760">
        <f t="shared" si="100"/>
        <v>3.8506179526965761E+56</v>
      </c>
      <c r="FBL53" s="760">
        <f t="shared" si="100"/>
        <v>3.9661364912774739E+56</v>
      </c>
      <c r="FBM53" s="760">
        <f t="shared" si="100"/>
        <v>4.0851205860157982E+56</v>
      </c>
      <c r="FBN53" s="760">
        <f t="shared" si="100"/>
        <v>4.2076742035962719E+56</v>
      </c>
      <c r="FBO53" s="760">
        <f t="shared" si="100"/>
        <v>4.3339044297041605E+56</v>
      </c>
      <c r="FBP53" s="760">
        <f t="shared" si="100"/>
        <v>4.4639215625952852E+56</v>
      </c>
      <c r="FBQ53" s="760">
        <f t="shared" si="100"/>
        <v>4.5978392094731437E+56</v>
      </c>
      <c r="FBR53" s="760">
        <f t="shared" si="100"/>
        <v>4.735774385757338E+56</v>
      </c>
      <c r="FBS53" s="760">
        <f t="shared" si="100"/>
        <v>4.8778476173300579E+56</v>
      </c>
      <c r="FBT53" s="760">
        <f t="shared" si="100"/>
        <v>5.0241830458499597E+56</v>
      </c>
      <c r="FBU53" s="760">
        <f t="shared" si="100"/>
        <v>5.174908537225459E+56</v>
      </c>
      <c r="FBV53" s="760">
        <f t="shared" si="100"/>
        <v>5.330155793342223E+56</v>
      </c>
      <c r="FBW53" s="760">
        <f t="shared" si="100"/>
        <v>5.4900604671424903E+56</v>
      </c>
      <c r="FBX53" s="760">
        <f t="shared" si="100"/>
        <v>5.6547622811567655E+56</v>
      </c>
      <c r="FBY53" s="760">
        <f t="shared" si="100"/>
        <v>5.8244051495914684E+56</v>
      </c>
      <c r="FBZ53" s="760">
        <f t="shared" si="100"/>
        <v>5.9991373040792121E+56</v>
      </c>
      <c r="FCA53" s="760">
        <f t="shared" si="100"/>
        <v>6.1791114232015888E+56</v>
      </c>
      <c r="FCB53" s="760">
        <f t="shared" si="100"/>
        <v>6.3644847658976366E+56</v>
      </c>
      <c r="FCC53" s="760">
        <f t="shared" si="100"/>
        <v>6.5554193088745659E+56</v>
      </c>
      <c r="FCD53" s="760">
        <f t="shared" si="100"/>
        <v>6.7520818881408034E+56</v>
      </c>
      <c r="FCE53" s="760">
        <f t="shared" si="100"/>
        <v>6.9546443447850277E+56</v>
      </c>
      <c r="FCF53" s="760">
        <f t="shared" si="100"/>
        <v>7.1632836751285788E+56</v>
      </c>
      <c r="FCG53" s="760">
        <f t="shared" si="100"/>
        <v>7.3781821853824362E+56</v>
      </c>
      <c r="FCH53" s="760">
        <f t="shared" si="100"/>
        <v>7.5995276509439093E+56</v>
      </c>
      <c r="FCI53" s="760">
        <f t="shared" si="100"/>
        <v>7.8275134804722268E+56</v>
      </c>
      <c r="FCJ53" s="760">
        <f t="shared" si="100"/>
        <v>8.0623388848863933E+56</v>
      </c>
      <c r="FCK53" s="760">
        <f t="shared" si="100"/>
        <v>8.3042090514329852E+56</v>
      </c>
      <c r="FCL53" s="760">
        <f t="shared" si="100"/>
        <v>8.5533353229759755E+56</v>
      </c>
      <c r="FCM53" s="760">
        <f t="shared" si="100"/>
        <v>8.8099353826652557E+56</v>
      </c>
      <c r="FCN53" s="760">
        <f t="shared" si="100"/>
        <v>9.0742334441452136E+56</v>
      </c>
      <c r="FCO53" s="760">
        <f t="shared" si="100"/>
        <v>9.3464604474695696E+56</v>
      </c>
      <c r="FCP53" s="760">
        <f t="shared" si="100"/>
        <v>9.6268542608936574E+56</v>
      </c>
      <c r="FCQ53" s="760">
        <f t="shared" si="100"/>
        <v>9.9156598887204669E+56</v>
      </c>
      <c r="FCR53" s="760">
        <f t="shared" si="100"/>
        <v>1.0213129685382082E+57</v>
      </c>
      <c r="FCS53" s="760">
        <f t="shared" si="100"/>
        <v>1.0519523575943544E+57</v>
      </c>
      <c r="FCT53" s="760">
        <f t="shared" si="100"/>
        <v>1.0835109283221851E+57</v>
      </c>
      <c r="FCU53" s="760">
        <f t="shared" si="100"/>
        <v>1.1160162561718507E+57</v>
      </c>
      <c r="FCV53" s="760">
        <f t="shared" si="100"/>
        <v>1.1494967438570062E+57</v>
      </c>
      <c r="FCW53" s="760">
        <f t="shared" si="100"/>
        <v>1.1839816461727164E+57</v>
      </c>
      <c r="FCX53" s="760">
        <f t="shared" si="100"/>
        <v>1.2195010955578979E+57</v>
      </c>
      <c r="FCY53" s="760">
        <f t="shared" si="100"/>
        <v>1.2560861284246348E+57</v>
      </c>
      <c r="FCZ53" s="760">
        <f t="shared" si="100"/>
        <v>1.293768712277374E+57</v>
      </c>
      <c r="FDA53" s="760">
        <f t="shared" si="100"/>
        <v>1.3325817736456952E+57</v>
      </c>
      <c r="FDB53" s="760">
        <f t="shared" si="100"/>
        <v>1.3725592268550661E+57</v>
      </c>
      <c r="FDC53" s="760">
        <f t="shared" si="100"/>
        <v>1.4137360036607181E+57</v>
      </c>
      <c r="FDD53" s="760">
        <f t="shared" si="100"/>
        <v>1.4561480837705397E+57</v>
      </c>
      <c r="FDE53" s="760">
        <f t="shared" si="100"/>
        <v>1.499832526283656E+57</v>
      </c>
      <c r="FDF53" s="760">
        <f t="shared" si="100"/>
        <v>1.5448275020721657E+57</v>
      </c>
      <c r="FDG53" s="760">
        <f t="shared" ref="FDG53:FFR53" si="101">+FDF53*$C$53</f>
        <v>1.5911723271343306E+57</v>
      </c>
      <c r="FDH53" s="760">
        <f t="shared" si="101"/>
        <v>1.6389074969483606E+57</v>
      </c>
      <c r="FDI53" s="760">
        <f t="shared" si="101"/>
        <v>1.6880747218568115E+57</v>
      </c>
      <c r="FDJ53" s="760">
        <f t="shared" si="101"/>
        <v>1.738716963512516E+57</v>
      </c>
      <c r="FDK53" s="760">
        <f t="shared" si="101"/>
        <v>1.7908784724178914E+57</v>
      </c>
      <c r="FDL53" s="760">
        <f t="shared" si="101"/>
        <v>1.8446048265904282E+57</v>
      </c>
      <c r="FDM53" s="760">
        <f t="shared" si="101"/>
        <v>1.8999429713881412E+57</v>
      </c>
      <c r="FDN53" s="760">
        <f t="shared" si="101"/>
        <v>1.9569412605297856E+57</v>
      </c>
      <c r="FDO53" s="760">
        <f t="shared" si="101"/>
        <v>2.0156494983456792E+57</v>
      </c>
      <c r="FDP53" s="760">
        <f t="shared" si="101"/>
        <v>2.0761189832960497E+57</v>
      </c>
      <c r="FDQ53" s="760">
        <f t="shared" si="101"/>
        <v>2.1384025527949312E+57</v>
      </c>
      <c r="FDR53" s="760">
        <f t="shared" si="101"/>
        <v>2.2025546293787793E+57</v>
      </c>
      <c r="FDS53" s="760">
        <f t="shared" si="101"/>
        <v>2.2686312682601428E+57</v>
      </c>
      <c r="FDT53" s="760">
        <f t="shared" si="101"/>
        <v>2.3366902063079473E+57</v>
      </c>
      <c r="FDU53" s="760">
        <f t="shared" si="101"/>
        <v>2.4067909124971857E+57</v>
      </c>
      <c r="FDV53" s="760">
        <f t="shared" si="101"/>
        <v>2.4789946398721013E+57</v>
      </c>
      <c r="FDW53" s="760">
        <f t="shared" si="101"/>
        <v>2.5533644790682645E+57</v>
      </c>
      <c r="FDX53" s="760">
        <f t="shared" si="101"/>
        <v>2.6299654134403125E+57</v>
      </c>
      <c r="FDY53" s="760">
        <f t="shared" si="101"/>
        <v>2.708864375843522E+57</v>
      </c>
      <c r="FDZ53" s="760">
        <f t="shared" si="101"/>
        <v>2.7901303071188278E+57</v>
      </c>
      <c r="FEA53" s="760">
        <f t="shared" si="101"/>
        <v>2.8738342163323929E+57</v>
      </c>
      <c r="FEB53" s="760">
        <f t="shared" si="101"/>
        <v>2.9600492428223648E+57</v>
      </c>
      <c r="FEC53" s="760">
        <f t="shared" si="101"/>
        <v>3.0488507201070359E+57</v>
      </c>
      <c r="FED53" s="760">
        <f t="shared" si="101"/>
        <v>3.1403162417102473E+57</v>
      </c>
      <c r="FEE53" s="760">
        <f t="shared" si="101"/>
        <v>3.234525728961555E+57</v>
      </c>
      <c r="FEF53" s="760">
        <f t="shared" si="101"/>
        <v>3.3315615008304021E+57</v>
      </c>
      <c r="FEG53" s="760">
        <f t="shared" si="101"/>
        <v>3.431508345855314E+57</v>
      </c>
      <c r="FEH53" s="760">
        <f t="shared" si="101"/>
        <v>3.5344535962309734E+57</v>
      </c>
      <c r="FEI53" s="760">
        <f t="shared" si="101"/>
        <v>3.6404872041179024E+57</v>
      </c>
      <c r="FEJ53" s="760">
        <f t="shared" si="101"/>
        <v>3.7497018202414397E+57</v>
      </c>
      <c r="FEK53" s="760">
        <f t="shared" si="101"/>
        <v>3.862192874848683E+57</v>
      </c>
      <c r="FEL53" s="760">
        <f t="shared" si="101"/>
        <v>3.9780586610941439E+57</v>
      </c>
      <c r="FEM53" s="760">
        <f t="shared" si="101"/>
        <v>4.097400420926968E+57</v>
      </c>
      <c r="FEN53" s="760">
        <f t="shared" si="101"/>
        <v>4.220322433554777E+57</v>
      </c>
      <c r="FEO53" s="760">
        <f t="shared" si="101"/>
        <v>4.3469321065614206E+57</v>
      </c>
      <c r="FEP53" s="760">
        <f t="shared" si="101"/>
        <v>4.4773400697582633E+57</v>
      </c>
      <c r="FEQ53" s="760">
        <f t="shared" si="101"/>
        <v>4.6116602718510115E+57</v>
      </c>
      <c r="FER53" s="760">
        <f t="shared" si="101"/>
        <v>4.7500100800065417E+57</v>
      </c>
      <c r="FES53" s="760">
        <f t="shared" si="101"/>
        <v>4.8925103824067378E+57</v>
      </c>
      <c r="FET53" s="760">
        <f t="shared" si="101"/>
        <v>5.0392856938789402E+57</v>
      </c>
      <c r="FEU53" s="760">
        <f t="shared" si="101"/>
        <v>5.1904642646953087E+57</v>
      </c>
      <c r="FEV53" s="760">
        <f t="shared" si="101"/>
        <v>5.3461781926361683E+57</v>
      </c>
      <c r="FEW53" s="760">
        <f t="shared" si="101"/>
        <v>5.5065635384152532E+57</v>
      </c>
      <c r="FEX53" s="760">
        <f t="shared" si="101"/>
        <v>5.6717604445677113E+57</v>
      </c>
      <c r="FEY53" s="760">
        <f t="shared" si="101"/>
        <v>5.8419132579047428E+57</v>
      </c>
      <c r="FEZ53" s="760">
        <f t="shared" si="101"/>
        <v>6.017170655641885E+57</v>
      </c>
      <c r="FFA53" s="760">
        <f t="shared" si="101"/>
        <v>6.197685775311142E+57</v>
      </c>
      <c r="FFB53" s="760">
        <f t="shared" si="101"/>
        <v>6.3836163485704769E+57</v>
      </c>
      <c r="FFC53" s="760">
        <f t="shared" si="101"/>
        <v>6.5751248390275916E+57</v>
      </c>
      <c r="FFD53" s="760">
        <f t="shared" si="101"/>
        <v>6.772378584198419E+57</v>
      </c>
      <c r="FFE53" s="760">
        <f t="shared" si="101"/>
        <v>6.975549941724372E+57</v>
      </c>
      <c r="FFF53" s="760">
        <f t="shared" si="101"/>
        <v>7.1848164399761034E+57</v>
      </c>
      <c r="FFG53" s="760">
        <f t="shared" si="101"/>
        <v>7.4003609331753863E+57</v>
      </c>
      <c r="FFH53" s="760">
        <f t="shared" si="101"/>
        <v>7.6223717611706486E+57</v>
      </c>
      <c r="FFI53" s="760">
        <f t="shared" si="101"/>
        <v>7.851042914005768E+57</v>
      </c>
      <c r="FFJ53" s="760">
        <f t="shared" si="101"/>
        <v>8.0865742014259413E+57</v>
      </c>
      <c r="FFK53" s="760">
        <f t="shared" si="101"/>
        <v>8.3291714274687191E+57</v>
      </c>
      <c r="FFL53" s="760">
        <f t="shared" si="101"/>
        <v>8.5790465702927813E+57</v>
      </c>
      <c r="FFM53" s="760">
        <f t="shared" si="101"/>
        <v>8.8364179674015655E+57</v>
      </c>
      <c r="FFN53" s="760">
        <f t="shared" si="101"/>
        <v>9.1015105064236121E+57</v>
      </c>
      <c r="FFO53" s="760">
        <f t="shared" si="101"/>
        <v>9.3745558216163212E+57</v>
      </c>
      <c r="FFP53" s="760">
        <f t="shared" si="101"/>
        <v>9.6557924962648117E+57</v>
      </c>
      <c r="FFQ53" s="760">
        <f t="shared" si="101"/>
        <v>9.945466271152757E+57</v>
      </c>
      <c r="FFR53" s="760">
        <f t="shared" si="101"/>
        <v>1.0243830259287339E+58</v>
      </c>
      <c r="FFS53" s="760">
        <f t="shared" ref="FFS53:FID53" si="102">+FFR53*$C$53</f>
        <v>1.0551145167065959E+58</v>
      </c>
      <c r="FFT53" s="760">
        <f t="shared" si="102"/>
        <v>1.0867679522077938E+58</v>
      </c>
      <c r="FFU53" s="760">
        <f t="shared" si="102"/>
        <v>1.1193709907740277E+58</v>
      </c>
      <c r="FFV53" s="760">
        <f t="shared" si="102"/>
        <v>1.1529521204972485E+58</v>
      </c>
      <c r="FFW53" s="760">
        <f t="shared" si="102"/>
        <v>1.187540684112166E+58</v>
      </c>
      <c r="FFX53" s="760">
        <f t="shared" si="102"/>
        <v>1.223166904635531E+58</v>
      </c>
      <c r="FFY53" s="760">
        <f t="shared" si="102"/>
        <v>1.2598619117745971E+58</v>
      </c>
      <c r="FFZ53" s="760">
        <f t="shared" si="102"/>
        <v>1.2976577691278349E+58</v>
      </c>
      <c r="FGA53" s="760">
        <f t="shared" si="102"/>
        <v>1.3365875022016701E+58</v>
      </c>
      <c r="FGB53" s="760">
        <f t="shared" si="102"/>
        <v>1.3766851272677204E+58</v>
      </c>
      <c r="FGC53" s="760">
        <f t="shared" si="102"/>
        <v>1.417985681085752E+58</v>
      </c>
      <c r="FGD53" s="760">
        <f t="shared" si="102"/>
        <v>1.4605252515183248E+58</v>
      </c>
      <c r="FGE53" s="760">
        <f t="shared" si="102"/>
        <v>1.5043410090638745E+58</v>
      </c>
      <c r="FGF53" s="760">
        <f t="shared" si="102"/>
        <v>1.5494712393357909E+58</v>
      </c>
      <c r="FGG53" s="760">
        <f t="shared" si="102"/>
        <v>1.5959553765158647E+58</v>
      </c>
      <c r="FGH53" s="760">
        <f t="shared" si="102"/>
        <v>1.6438340378113406E+58</v>
      </c>
      <c r="FGI53" s="760">
        <f t="shared" si="102"/>
        <v>1.6931490589456809E+58</v>
      </c>
      <c r="FGJ53" s="760">
        <f t="shared" si="102"/>
        <v>1.7439435307140513E+58</v>
      </c>
      <c r="FGK53" s="760">
        <f t="shared" si="102"/>
        <v>1.7962618366354729E+58</v>
      </c>
      <c r="FGL53" s="760">
        <f t="shared" si="102"/>
        <v>1.8501496917345372E+58</v>
      </c>
      <c r="FGM53" s="760">
        <f t="shared" si="102"/>
        <v>1.9056541824865734E+58</v>
      </c>
      <c r="FGN53" s="760">
        <f t="shared" si="102"/>
        <v>1.9628238079611707E+58</v>
      </c>
      <c r="FGO53" s="760">
        <f t="shared" si="102"/>
        <v>2.0217085222000059E+58</v>
      </c>
      <c r="FGP53" s="760">
        <f t="shared" si="102"/>
        <v>2.0823597778660061E+58</v>
      </c>
      <c r="FGQ53" s="760">
        <f t="shared" si="102"/>
        <v>2.1448305712019863E+58</v>
      </c>
      <c r="FGR53" s="760">
        <f t="shared" si="102"/>
        <v>2.209175488338046E+58</v>
      </c>
      <c r="FGS53" s="760">
        <f t="shared" si="102"/>
        <v>2.2754507529881874E+58</v>
      </c>
      <c r="FGT53" s="760">
        <f t="shared" si="102"/>
        <v>2.3437142755778332E+58</v>
      </c>
      <c r="FGU53" s="760">
        <f t="shared" si="102"/>
        <v>2.4140257038451683E+58</v>
      </c>
      <c r="FGV53" s="760">
        <f t="shared" si="102"/>
        <v>2.4864464749605232E+58</v>
      </c>
      <c r="FGW53" s="760">
        <f t="shared" si="102"/>
        <v>2.5610398692093392E+58</v>
      </c>
      <c r="FGX53" s="760">
        <f t="shared" si="102"/>
        <v>2.6378710652856195E+58</v>
      </c>
      <c r="FGY53" s="760">
        <f t="shared" si="102"/>
        <v>2.7170071972441882E+58</v>
      </c>
      <c r="FGZ53" s="760">
        <f t="shared" si="102"/>
        <v>2.7985174131615139E+58</v>
      </c>
      <c r="FHA53" s="760">
        <f t="shared" si="102"/>
        <v>2.8824729355563597E+58</v>
      </c>
      <c r="FHB53" s="760">
        <f t="shared" si="102"/>
        <v>2.9689471236230504E+58</v>
      </c>
      <c r="FHC53" s="760">
        <f t="shared" si="102"/>
        <v>3.0580155373317417E+58</v>
      </c>
      <c r="FHD53" s="760">
        <f t="shared" si="102"/>
        <v>3.149756003451694E+58</v>
      </c>
      <c r="FHE53" s="760">
        <f t="shared" si="102"/>
        <v>3.244248683555245E+58</v>
      </c>
      <c r="FHF53" s="760">
        <f t="shared" si="102"/>
        <v>3.3415761440619024E+58</v>
      </c>
      <c r="FHG53" s="760">
        <f t="shared" si="102"/>
        <v>3.4418234283837594E+58</v>
      </c>
      <c r="FHH53" s="760">
        <f t="shared" si="102"/>
        <v>3.5450781312352725E+58</v>
      </c>
      <c r="FHI53" s="760">
        <f t="shared" si="102"/>
        <v>3.6514304751723308E+58</v>
      </c>
      <c r="FHJ53" s="760">
        <f t="shared" si="102"/>
        <v>3.760973389427501E+58</v>
      </c>
      <c r="FHK53" s="760">
        <f t="shared" si="102"/>
        <v>3.8738025911103264E+58</v>
      </c>
      <c r="FHL53" s="760">
        <f t="shared" si="102"/>
        <v>3.990016668843636E+58</v>
      </c>
      <c r="FHM53" s="760">
        <f t="shared" si="102"/>
        <v>4.1097171689089453E+58</v>
      </c>
      <c r="FHN53" s="760">
        <f t="shared" si="102"/>
        <v>4.2330086839762135E+58</v>
      </c>
      <c r="FHO53" s="760">
        <f t="shared" si="102"/>
        <v>4.3599989444954998E+58</v>
      </c>
      <c r="FHP53" s="760">
        <f t="shared" si="102"/>
        <v>4.4907989128303649E+58</v>
      </c>
      <c r="FHQ53" s="760">
        <f t="shared" si="102"/>
        <v>4.625522880215276E+58</v>
      </c>
      <c r="FHR53" s="760">
        <f t="shared" si="102"/>
        <v>4.7642885666217344E+58</v>
      </c>
      <c r="FHS53" s="760">
        <f t="shared" si="102"/>
        <v>4.9072172236203864E+58</v>
      </c>
      <c r="FHT53" s="760">
        <f t="shared" si="102"/>
        <v>5.0544337403289977E+58</v>
      </c>
      <c r="FHU53" s="760">
        <f t="shared" si="102"/>
        <v>5.206066752538868E+58</v>
      </c>
      <c r="FHV53" s="760">
        <f t="shared" si="102"/>
        <v>5.3622487551150341E+58</v>
      </c>
      <c r="FHW53" s="760">
        <f t="shared" si="102"/>
        <v>5.5231162177684852E+58</v>
      </c>
      <c r="FHX53" s="760">
        <f t="shared" si="102"/>
        <v>5.6888097043015395E+58</v>
      </c>
      <c r="FHY53" s="760">
        <f t="shared" si="102"/>
        <v>5.8594739954305855E+58</v>
      </c>
      <c r="FHZ53" s="760">
        <f t="shared" si="102"/>
        <v>6.0352582152935029E+58</v>
      </c>
      <c r="FIA53" s="760">
        <f t="shared" si="102"/>
        <v>6.2163159617523082E+58</v>
      </c>
      <c r="FIB53" s="760">
        <f t="shared" si="102"/>
        <v>6.4028054406048774E+58</v>
      </c>
      <c r="FIC53" s="760">
        <f t="shared" si="102"/>
        <v>6.5948896038230239E+58</v>
      </c>
      <c r="FID53" s="760">
        <f t="shared" si="102"/>
        <v>6.7927362919377147E+58</v>
      </c>
      <c r="FIE53" s="760">
        <f t="shared" ref="FIE53:FKP53" si="103">+FID53*$C$53</f>
        <v>6.9965183806958463E+58</v>
      </c>
      <c r="FIF53" s="760">
        <f t="shared" si="103"/>
        <v>7.2064139321167224E+58</v>
      </c>
      <c r="FIG53" s="760">
        <f t="shared" si="103"/>
        <v>7.4226063500802238E+58</v>
      </c>
      <c r="FIH53" s="760">
        <f t="shared" si="103"/>
        <v>7.6452845405826305E+58</v>
      </c>
      <c r="FII53" s="760">
        <f t="shared" si="103"/>
        <v>7.8746430768001101E+58</v>
      </c>
      <c r="FIJ53" s="760">
        <f t="shared" si="103"/>
        <v>8.1108823691041133E+58</v>
      </c>
      <c r="FIK53" s="760">
        <f t="shared" si="103"/>
        <v>8.3542088401772371E+58</v>
      </c>
      <c r="FIL53" s="760">
        <f t="shared" si="103"/>
        <v>8.604835105382554E+58</v>
      </c>
      <c r="FIM53" s="760">
        <f t="shared" si="103"/>
        <v>8.8629801585440303E+58</v>
      </c>
      <c r="FIN53" s="760">
        <f t="shared" si="103"/>
        <v>9.128869563300351E+58</v>
      </c>
      <c r="FIO53" s="760">
        <f t="shared" si="103"/>
        <v>9.4027356501993622E+58</v>
      </c>
      <c r="FIP53" s="760">
        <f t="shared" si="103"/>
        <v>9.6848177197053427E+58</v>
      </c>
      <c r="FIQ53" s="760">
        <f t="shared" si="103"/>
        <v>9.9753622512965037E+58</v>
      </c>
      <c r="FIR53" s="760">
        <f t="shared" si="103"/>
        <v>1.0274623118835398E+59</v>
      </c>
      <c r="FIS53" s="760">
        <f t="shared" si="103"/>
        <v>1.058286181240046E+59</v>
      </c>
      <c r="FIT53" s="760">
        <f t="shared" si="103"/>
        <v>1.0900347666772475E+59</v>
      </c>
      <c r="FIU53" s="760">
        <f t="shared" si="103"/>
        <v>1.122735809677565E+59</v>
      </c>
      <c r="FIV53" s="760">
        <f t="shared" si="103"/>
        <v>1.156417883967892E+59</v>
      </c>
      <c r="FIW53" s="760">
        <f t="shared" si="103"/>
        <v>1.1911104204869287E+59</v>
      </c>
      <c r="FIX53" s="760">
        <f t="shared" si="103"/>
        <v>1.2268437331015367E+59</v>
      </c>
      <c r="FIY53" s="760">
        <f t="shared" si="103"/>
        <v>1.2636490450945827E+59</v>
      </c>
      <c r="FIZ53" s="760">
        <f t="shared" si="103"/>
        <v>1.3015585164474203E+59</v>
      </c>
      <c r="FJA53" s="760">
        <f t="shared" si="103"/>
        <v>1.3406052719408429E+59</v>
      </c>
      <c r="FJB53" s="760">
        <f t="shared" si="103"/>
        <v>1.3808234300990682E+59</v>
      </c>
      <c r="FJC53" s="760">
        <f t="shared" si="103"/>
        <v>1.4222481330020403E+59</v>
      </c>
      <c r="FJD53" s="760">
        <f t="shared" si="103"/>
        <v>1.4649155769921014E+59</v>
      </c>
      <c r="FJE53" s="760">
        <f t="shared" si="103"/>
        <v>1.5088630443018646E+59</v>
      </c>
      <c r="FJF53" s="760">
        <f t="shared" si="103"/>
        <v>1.5541289356309206E+59</v>
      </c>
      <c r="FJG53" s="760">
        <f t="shared" si="103"/>
        <v>1.6007528036998483E+59</v>
      </c>
      <c r="FJH53" s="760">
        <f t="shared" si="103"/>
        <v>1.6487753878108439E+59</v>
      </c>
      <c r="FJI53" s="760">
        <f t="shared" si="103"/>
        <v>1.6982386494451694E+59</v>
      </c>
      <c r="FJJ53" s="760">
        <f t="shared" si="103"/>
        <v>1.7491858089285246E+59</v>
      </c>
      <c r="FJK53" s="760">
        <f t="shared" si="103"/>
        <v>1.8016613831963803E+59</v>
      </c>
      <c r="FJL53" s="760">
        <f t="shared" si="103"/>
        <v>1.8557112246922717E+59</v>
      </c>
      <c r="FJM53" s="760">
        <f t="shared" si="103"/>
        <v>1.9113825614330398E+59</v>
      </c>
      <c r="FJN53" s="760">
        <f t="shared" si="103"/>
        <v>1.968724038276031E+59</v>
      </c>
      <c r="FJO53" s="760">
        <f t="shared" si="103"/>
        <v>2.0277857594243119E+59</v>
      </c>
      <c r="FJP53" s="760">
        <f t="shared" si="103"/>
        <v>2.0886193322070413E+59</v>
      </c>
      <c r="FJQ53" s="760">
        <f t="shared" si="103"/>
        <v>2.1512779121732526E+59</v>
      </c>
      <c r="FJR53" s="760">
        <f t="shared" si="103"/>
        <v>2.21581624953845E+59</v>
      </c>
      <c r="FJS53" s="760">
        <f t="shared" si="103"/>
        <v>2.2822907370246035E+59</v>
      </c>
      <c r="FJT53" s="760">
        <f t="shared" si="103"/>
        <v>2.3507594591353417E+59</v>
      </c>
      <c r="FJU53" s="760">
        <f t="shared" si="103"/>
        <v>2.421282242909402E+59</v>
      </c>
      <c r="FJV53" s="760">
        <f t="shared" si="103"/>
        <v>2.4939207101966841E+59</v>
      </c>
      <c r="FJW53" s="760">
        <f t="shared" si="103"/>
        <v>2.5687383315025848E+59</v>
      </c>
      <c r="FJX53" s="760">
        <f t="shared" si="103"/>
        <v>2.6458004814476626E+59</v>
      </c>
      <c r="FJY53" s="760">
        <f t="shared" si="103"/>
        <v>2.7251744958910926E+59</v>
      </c>
      <c r="FJZ53" s="760">
        <f t="shared" si="103"/>
        <v>2.8069297307678256E+59</v>
      </c>
      <c r="FKA53" s="760">
        <f t="shared" si="103"/>
        <v>2.8911376226908603E+59</v>
      </c>
      <c r="FKB53" s="760">
        <f t="shared" si="103"/>
        <v>2.9778717513715864E+59</v>
      </c>
      <c r="FKC53" s="760">
        <f t="shared" si="103"/>
        <v>3.0672079039127343E+59</v>
      </c>
      <c r="FKD53" s="760">
        <f t="shared" si="103"/>
        <v>3.1592241410301163E+59</v>
      </c>
      <c r="FKE53" s="760">
        <f t="shared" si="103"/>
        <v>3.2540008652610199E+59</v>
      </c>
      <c r="FKF53" s="760">
        <f t="shared" si="103"/>
        <v>3.3516208912188505E+59</v>
      </c>
      <c r="FKG53" s="760">
        <f t="shared" si="103"/>
        <v>3.4521695179554162E+59</v>
      </c>
      <c r="FKH53" s="760">
        <f t="shared" si="103"/>
        <v>3.5557346034940788E+59</v>
      </c>
      <c r="FKI53" s="760">
        <f t="shared" si="103"/>
        <v>3.6624066415989014E+59</v>
      </c>
      <c r="FKJ53" s="760">
        <f t="shared" si="103"/>
        <v>3.7722788408468687E+59</v>
      </c>
      <c r="FKK53" s="760">
        <f t="shared" si="103"/>
        <v>3.885447206072275E+59</v>
      </c>
      <c r="FKL53" s="760">
        <f t="shared" si="103"/>
        <v>4.0020106222544432E+59</v>
      </c>
      <c r="FKM53" s="760">
        <f t="shared" si="103"/>
        <v>4.1220709409220768E+59</v>
      </c>
      <c r="FKN53" s="760">
        <f t="shared" si="103"/>
        <v>4.2457330691497396E+59</v>
      </c>
      <c r="FKO53" s="760">
        <f t="shared" si="103"/>
        <v>4.3731050612242319E+59</v>
      </c>
      <c r="FKP53" s="760">
        <f t="shared" si="103"/>
        <v>4.5042982130609593E+59</v>
      </c>
      <c r="FKQ53" s="760">
        <f t="shared" ref="FKQ53:FNB53" si="104">+FKP53*$C$53</f>
        <v>4.639427159452788E+59</v>
      </c>
      <c r="FKR53" s="760">
        <f t="shared" si="104"/>
        <v>4.7786099742363716E+59</v>
      </c>
      <c r="FKS53" s="760">
        <f t="shared" si="104"/>
        <v>4.9219682734634625E+59</v>
      </c>
      <c r="FKT53" s="760">
        <f t="shared" si="104"/>
        <v>5.0696273216673666E+59</v>
      </c>
      <c r="FKU53" s="760">
        <f t="shared" si="104"/>
        <v>5.2217161413173878E+59</v>
      </c>
      <c r="FKV53" s="760">
        <f t="shared" si="104"/>
        <v>5.3783676255569095E+59</v>
      </c>
      <c r="FKW53" s="760">
        <f t="shared" si="104"/>
        <v>5.5397186543236167E+59</v>
      </c>
      <c r="FKX53" s="760">
        <f t="shared" si="104"/>
        <v>5.7059102139533257E+59</v>
      </c>
      <c r="FKY53" s="760">
        <f t="shared" si="104"/>
        <v>5.8770875203719255E+59</v>
      </c>
      <c r="FKZ53" s="760">
        <f t="shared" si="104"/>
        <v>6.0534001459830838E+59</v>
      </c>
      <c r="FLA53" s="760">
        <f t="shared" si="104"/>
        <v>6.2350021503625761E+59</v>
      </c>
      <c r="FLB53" s="760">
        <f t="shared" si="104"/>
        <v>6.4220522148734531E+59</v>
      </c>
      <c r="FLC53" s="760">
        <f t="shared" si="104"/>
        <v>6.6147137813196567E+59</v>
      </c>
      <c r="FLD53" s="760">
        <f t="shared" si="104"/>
        <v>6.8131551947592468E+59</v>
      </c>
      <c r="FLE53" s="760">
        <f t="shared" si="104"/>
        <v>7.0175498506020244E+59</v>
      </c>
      <c r="FLF53" s="760">
        <f t="shared" si="104"/>
        <v>7.228076346120085E+59</v>
      </c>
      <c r="FLG53" s="760">
        <f t="shared" si="104"/>
        <v>7.4449186365036878E+59</v>
      </c>
      <c r="FLH53" s="760">
        <f t="shared" si="104"/>
        <v>7.6682661955987986E+59</v>
      </c>
      <c r="FLI53" s="760">
        <f t="shared" si="104"/>
        <v>7.8983141814667624E+59</v>
      </c>
      <c r="FLJ53" s="760">
        <f t="shared" si="104"/>
        <v>8.1352636069107652E+59</v>
      </c>
      <c r="FLK53" s="760">
        <f t="shared" si="104"/>
        <v>8.379321515118089E+59</v>
      </c>
      <c r="FLL53" s="760">
        <f t="shared" si="104"/>
        <v>8.6307011605716325E+59</v>
      </c>
      <c r="FLM53" s="760">
        <f t="shared" si="104"/>
        <v>8.8896221953887808E+59</v>
      </c>
      <c r="FLN53" s="760">
        <f t="shared" si="104"/>
        <v>9.1563108612504437E+59</v>
      </c>
      <c r="FLO53" s="760">
        <f t="shared" si="104"/>
        <v>9.4310001870879576E+59</v>
      </c>
      <c r="FLP53" s="760">
        <f t="shared" si="104"/>
        <v>9.7139301927005963E+59</v>
      </c>
      <c r="FLQ53" s="760">
        <f t="shared" si="104"/>
        <v>1.0005348098481615E+60</v>
      </c>
      <c r="FLR53" s="760">
        <f t="shared" si="104"/>
        <v>1.0305508541436063E+60</v>
      </c>
      <c r="FLS53" s="760">
        <f t="shared" si="104"/>
        <v>1.0614673797679145E+60</v>
      </c>
      <c r="FLT53" s="760">
        <f t="shared" si="104"/>
        <v>1.093311401160952E+60</v>
      </c>
      <c r="FLU53" s="760">
        <f t="shared" si="104"/>
        <v>1.1261107431957806E+60</v>
      </c>
      <c r="FLV53" s="760">
        <f t="shared" si="104"/>
        <v>1.159894065491654E+60</v>
      </c>
      <c r="FLW53" s="760">
        <f t="shared" si="104"/>
        <v>1.1946908874564036E+60</v>
      </c>
      <c r="FLX53" s="760">
        <f t="shared" si="104"/>
        <v>1.2305316140800958E+60</v>
      </c>
      <c r="FLY53" s="760">
        <f t="shared" si="104"/>
        <v>1.2674475625024987E+60</v>
      </c>
      <c r="FLZ53" s="760">
        <f t="shared" si="104"/>
        <v>1.3054709893775736E+60</v>
      </c>
      <c r="FMA53" s="760">
        <f t="shared" si="104"/>
        <v>1.3446351190589008E+60</v>
      </c>
      <c r="FMB53" s="760">
        <f t="shared" si="104"/>
        <v>1.3849741726306679E+60</v>
      </c>
      <c r="FMC53" s="760">
        <f t="shared" si="104"/>
        <v>1.426523397809588E+60</v>
      </c>
      <c r="FMD53" s="760">
        <f t="shared" si="104"/>
        <v>1.4693190997438757E+60</v>
      </c>
      <c r="FME53" s="760">
        <f t="shared" si="104"/>
        <v>1.513398672736192E+60</v>
      </c>
      <c r="FMF53" s="760">
        <f t="shared" si="104"/>
        <v>1.5588006329182777E+60</v>
      </c>
      <c r="FMG53" s="760">
        <f t="shared" si="104"/>
        <v>1.605564651905826E+60</v>
      </c>
      <c r="FMH53" s="760">
        <f t="shared" si="104"/>
        <v>1.653731591463001E+60</v>
      </c>
      <c r="FMI53" s="760">
        <f t="shared" si="104"/>
        <v>1.7033435392068909E+60</v>
      </c>
      <c r="FMJ53" s="760">
        <f t="shared" si="104"/>
        <v>1.7544438453830976E+60</v>
      </c>
      <c r="FMK53" s="760">
        <f t="shared" si="104"/>
        <v>1.8070771607445907E+60</v>
      </c>
      <c r="FML53" s="760">
        <f t="shared" si="104"/>
        <v>1.8612894755669285E+60</v>
      </c>
      <c r="FMM53" s="760">
        <f t="shared" si="104"/>
        <v>1.9171281598339364E+60</v>
      </c>
      <c r="FMN53" s="760">
        <f t="shared" si="104"/>
        <v>1.9746420046289547E+60</v>
      </c>
      <c r="FMO53" s="760">
        <f t="shared" si="104"/>
        <v>2.0338812647678233E+60</v>
      </c>
      <c r="FMP53" s="760">
        <f t="shared" si="104"/>
        <v>2.094897702710858E+60</v>
      </c>
      <c r="FMQ53" s="760">
        <f t="shared" si="104"/>
        <v>2.1577446337921838E+60</v>
      </c>
      <c r="FMR53" s="760">
        <f t="shared" si="104"/>
        <v>2.2224769728059493E+60</v>
      </c>
      <c r="FMS53" s="760">
        <f t="shared" si="104"/>
        <v>2.2891512819901279E+60</v>
      </c>
      <c r="FMT53" s="760">
        <f t="shared" si="104"/>
        <v>2.3578258204498317E+60</v>
      </c>
      <c r="FMU53" s="760">
        <f t="shared" si="104"/>
        <v>2.4285605950633266E+60</v>
      </c>
      <c r="FMV53" s="760">
        <f t="shared" si="104"/>
        <v>2.5014174129152263E+60</v>
      </c>
      <c r="FMW53" s="760">
        <f t="shared" si="104"/>
        <v>2.5764599353026832E+60</v>
      </c>
      <c r="FMX53" s="760">
        <f t="shared" si="104"/>
        <v>2.6537537333617637E+60</v>
      </c>
      <c r="FMY53" s="760">
        <f t="shared" si="104"/>
        <v>2.7333663453626168E+60</v>
      </c>
      <c r="FMZ53" s="760">
        <f t="shared" si="104"/>
        <v>2.8153673357234955E+60</v>
      </c>
      <c r="FNA53" s="760">
        <f t="shared" si="104"/>
        <v>2.8998283557952003E+60</v>
      </c>
      <c r="FNB53" s="760">
        <f t="shared" si="104"/>
        <v>2.9868232064690566E+60</v>
      </c>
      <c r="FNC53" s="760">
        <f t="shared" ref="FNC53:FPN53" si="105">+FNB53*$C$53</f>
        <v>3.0764279026631283E+60</v>
      </c>
      <c r="FND53" s="760">
        <f t="shared" si="105"/>
        <v>3.1687207397430223E+60</v>
      </c>
      <c r="FNE53" s="760">
        <f t="shared" si="105"/>
        <v>3.2637823619353127E+60</v>
      </c>
      <c r="FNF53" s="760">
        <f t="shared" si="105"/>
        <v>3.3616958327933719E+60</v>
      </c>
      <c r="FNG53" s="760">
        <f t="shared" si="105"/>
        <v>3.4625467077771732E+60</v>
      </c>
      <c r="FNH53" s="760">
        <f t="shared" si="105"/>
        <v>3.5664231090104884E+60</v>
      </c>
      <c r="FNI53" s="760">
        <f t="shared" si="105"/>
        <v>3.6734158022808029E+60</v>
      </c>
      <c r="FNJ53" s="760">
        <f t="shared" si="105"/>
        <v>3.7836182763492269E+60</v>
      </c>
      <c r="FNK53" s="760">
        <f t="shared" si="105"/>
        <v>3.8971268246397041E+60</v>
      </c>
      <c r="FNL53" s="760">
        <f t="shared" si="105"/>
        <v>4.0140406293788952E+60</v>
      </c>
      <c r="FNM53" s="760">
        <f t="shared" si="105"/>
        <v>4.134461848260262E+60</v>
      </c>
      <c r="FNN53" s="760">
        <f t="shared" si="105"/>
        <v>4.2584957037080702E+60</v>
      </c>
      <c r="FNO53" s="760">
        <f t="shared" si="105"/>
        <v>4.3862505748193127E+60</v>
      </c>
      <c r="FNP53" s="760">
        <f t="shared" si="105"/>
        <v>4.5178380920638924E+60</v>
      </c>
      <c r="FNQ53" s="760">
        <f t="shared" si="105"/>
        <v>4.6533732348258093E+60</v>
      </c>
      <c r="FNR53" s="760">
        <f t="shared" si="105"/>
        <v>4.7929744318705841E+60</v>
      </c>
      <c r="FNS53" s="760">
        <f t="shared" si="105"/>
        <v>4.9367636648267017E+60</v>
      </c>
      <c r="FNT53" s="760">
        <f t="shared" si="105"/>
        <v>5.0848665747715032E+60</v>
      </c>
      <c r="FNU53" s="760">
        <f t="shared" si="105"/>
        <v>5.2374125720146483E+60</v>
      </c>
      <c r="FNV53" s="760">
        <f t="shared" si="105"/>
        <v>5.3945349491750881E+60</v>
      </c>
      <c r="FNW53" s="760">
        <f t="shared" si="105"/>
        <v>5.5563709976503406E+60</v>
      </c>
      <c r="FNX53" s="760">
        <f t="shared" si="105"/>
        <v>5.7230621275798506E+60</v>
      </c>
      <c r="FNY53" s="760">
        <f t="shared" si="105"/>
        <v>5.8947539914072462E+60</v>
      </c>
      <c r="FNZ53" s="760">
        <f t="shared" si="105"/>
        <v>6.0715966111494637E+60</v>
      </c>
      <c r="FOA53" s="760">
        <f t="shared" si="105"/>
        <v>6.2537445094839475E+60</v>
      </c>
      <c r="FOB53" s="760">
        <f t="shared" si="105"/>
        <v>6.4413568447684656E+60</v>
      </c>
      <c r="FOC53" s="760">
        <f t="shared" si="105"/>
        <v>6.6345975501115196E+60</v>
      </c>
      <c r="FOD53" s="760">
        <f t="shared" si="105"/>
        <v>6.8336354766148652E+60</v>
      </c>
      <c r="FOE53" s="760">
        <f t="shared" si="105"/>
        <v>7.0386445409133112E+60</v>
      </c>
      <c r="FOF53" s="760">
        <f t="shared" si="105"/>
        <v>7.2498038771407102E+60</v>
      </c>
      <c r="FOG53" s="760">
        <f t="shared" si="105"/>
        <v>7.4672979934549319E+60</v>
      </c>
      <c r="FOH53" s="760">
        <f t="shared" si="105"/>
        <v>7.6913169332585802E+60</v>
      </c>
      <c r="FOI53" s="760">
        <f t="shared" si="105"/>
        <v>7.9220564412563381E+60</v>
      </c>
      <c r="FOJ53" s="760">
        <f t="shared" si="105"/>
        <v>8.159718134494029E+60</v>
      </c>
      <c r="FOK53" s="760">
        <f t="shared" si="105"/>
        <v>8.4045096785288504E+60</v>
      </c>
      <c r="FOL53" s="760">
        <f t="shared" si="105"/>
        <v>8.6566449688847157E+60</v>
      </c>
      <c r="FOM53" s="760">
        <f t="shared" si="105"/>
        <v>8.9163443179512578E+60</v>
      </c>
      <c r="FON53" s="760">
        <f t="shared" si="105"/>
        <v>9.1838346474897954E+60</v>
      </c>
      <c r="FOO53" s="760">
        <f t="shared" si="105"/>
        <v>9.45934968691449E+60</v>
      </c>
      <c r="FOP53" s="760">
        <f t="shared" si="105"/>
        <v>9.7431301775219251E+60</v>
      </c>
      <c r="FOQ53" s="760">
        <f t="shared" si="105"/>
        <v>1.0035424082847583E+61</v>
      </c>
      <c r="FOR53" s="760">
        <f t="shared" si="105"/>
        <v>1.0336486805333011E+61</v>
      </c>
      <c r="FOS53" s="760">
        <f t="shared" si="105"/>
        <v>1.0646581409493E+61</v>
      </c>
      <c r="FOT53" s="760">
        <f t="shared" si="105"/>
        <v>1.0965978851777791E+61</v>
      </c>
      <c r="FOU53" s="760">
        <f t="shared" si="105"/>
        <v>1.1294958217331126E+61</v>
      </c>
      <c r="FOV53" s="760">
        <f t="shared" si="105"/>
        <v>1.1633806963851059E+61</v>
      </c>
      <c r="FOW53" s="760">
        <f t="shared" si="105"/>
        <v>1.1982821172766591E+61</v>
      </c>
      <c r="FOX53" s="760">
        <f t="shared" si="105"/>
        <v>1.2342305807949589E+61</v>
      </c>
      <c r="FOY53" s="760">
        <f t="shared" si="105"/>
        <v>1.2712574982188078E+61</v>
      </c>
      <c r="FOZ53" s="760">
        <f t="shared" si="105"/>
        <v>1.3093952231653719E+61</v>
      </c>
      <c r="FPA53" s="760">
        <f t="shared" si="105"/>
        <v>1.3486770798603332E+61</v>
      </c>
      <c r="FPB53" s="760">
        <f t="shared" si="105"/>
        <v>1.3891373922561431E+61</v>
      </c>
      <c r="FPC53" s="760">
        <f t="shared" si="105"/>
        <v>1.4308115140238275E+61</v>
      </c>
      <c r="FPD53" s="760">
        <f t="shared" si="105"/>
        <v>1.4737358594445423E+61</v>
      </c>
      <c r="FPE53" s="760">
        <f t="shared" si="105"/>
        <v>1.5179479352278786E+61</v>
      </c>
      <c r="FPF53" s="760">
        <f t="shared" si="105"/>
        <v>1.563486373284715E+61</v>
      </c>
      <c r="FPG53" s="760">
        <f t="shared" si="105"/>
        <v>1.6103909644832565E+61</v>
      </c>
      <c r="FPH53" s="760">
        <f t="shared" si="105"/>
        <v>1.6587026934177542E+61</v>
      </c>
      <c r="FPI53" s="760">
        <f t="shared" si="105"/>
        <v>1.7084637742202867E+61</v>
      </c>
      <c r="FPJ53" s="760">
        <f t="shared" si="105"/>
        <v>1.7597176874468953E+61</v>
      </c>
      <c r="FPK53" s="760">
        <f t="shared" si="105"/>
        <v>1.8125092180703023E+61</v>
      </c>
      <c r="FPL53" s="760">
        <f t="shared" si="105"/>
        <v>1.8668844946124115E+61</v>
      </c>
      <c r="FPM53" s="760">
        <f t="shared" si="105"/>
        <v>1.9228910294507838E+61</v>
      </c>
      <c r="FPN53" s="760">
        <f t="shared" si="105"/>
        <v>1.9805777603343073E+61</v>
      </c>
      <c r="FPO53" s="760">
        <f t="shared" ref="FPO53:FRZ53" si="106">+FPN53*$C$53</f>
        <v>2.0399950931443364E+61</v>
      </c>
      <c r="FPP53" s="760">
        <f t="shared" si="106"/>
        <v>2.1011949459386665E+61</v>
      </c>
      <c r="FPQ53" s="760">
        <f t="shared" si="106"/>
        <v>2.1642307943168265E+61</v>
      </c>
      <c r="FPR53" s="760">
        <f t="shared" si="106"/>
        <v>2.2291577181463314E+61</v>
      </c>
      <c r="FPS53" s="760">
        <f t="shared" si="106"/>
        <v>2.2960324496907213E+61</v>
      </c>
      <c r="FPT53" s="760">
        <f t="shared" si="106"/>
        <v>2.3649134231814431E+61</v>
      </c>
      <c r="FPU53" s="760">
        <f t="shared" si="106"/>
        <v>2.4358608258768864E+61</v>
      </c>
      <c r="FPV53" s="760">
        <f t="shared" si="106"/>
        <v>2.5089366506531931E+61</v>
      </c>
      <c r="FPW53" s="760">
        <f t="shared" si="106"/>
        <v>2.5842047501727887E+61</v>
      </c>
      <c r="FPX53" s="760">
        <f t="shared" si="106"/>
        <v>2.6617308926779724E+61</v>
      </c>
      <c r="FPY53" s="760">
        <f t="shared" si="106"/>
        <v>2.7415828194583117E+61</v>
      </c>
      <c r="FPZ53" s="760">
        <f t="shared" si="106"/>
        <v>2.8238303040420612E+61</v>
      </c>
      <c r="FQA53" s="760">
        <f t="shared" si="106"/>
        <v>2.9085452131633231E+61</v>
      </c>
      <c r="FQB53" s="760">
        <f t="shared" si="106"/>
        <v>2.9958015695582229E+61</v>
      </c>
      <c r="FQC53" s="760">
        <f t="shared" si="106"/>
        <v>3.0856756166449696E+61</v>
      </c>
      <c r="FQD53" s="760">
        <f t="shared" si="106"/>
        <v>3.1782458851443185E+61</v>
      </c>
      <c r="FQE53" s="760">
        <f t="shared" si="106"/>
        <v>3.2735932616986483E+61</v>
      </c>
      <c r="FQF53" s="760">
        <f t="shared" si="106"/>
        <v>3.371801059549608E+61</v>
      </c>
      <c r="FQG53" s="760">
        <f t="shared" si="106"/>
        <v>3.4729550913360962E+61</v>
      </c>
      <c r="FQH53" s="760">
        <f t="shared" si="106"/>
        <v>3.5771437440761789E+61</v>
      </c>
      <c r="FQI53" s="760">
        <f t="shared" si="106"/>
        <v>3.6844580563984647E+61</v>
      </c>
      <c r="FQJ53" s="760">
        <f t="shared" si="106"/>
        <v>3.7949917980904187E+61</v>
      </c>
      <c r="FQK53" s="760">
        <f t="shared" si="106"/>
        <v>3.9088415520331314E+61</v>
      </c>
      <c r="FQL53" s="760">
        <f t="shared" si="106"/>
        <v>4.0261067985941255E+61</v>
      </c>
      <c r="FQM53" s="760">
        <f t="shared" si="106"/>
        <v>4.1468900025519492E+61</v>
      </c>
      <c r="FQN53" s="760">
        <f t="shared" si="106"/>
        <v>4.2712967026285081E+61</v>
      </c>
      <c r="FQO53" s="760">
        <f t="shared" si="106"/>
        <v>4.3994356037073634E+61</v>
      </c>
      <c r="FQP53" s="760">
        <f t="shared" si="106"/>
        <v>4.5314186718185846E+61</v>
      </c>
      <c r="FQQ53" s="760">
        <f t="shared" si="106"/>
        <v>4.6673612319731422E+61</v>
      </c>
      <c r="FQR53" s="760">
        <f t="shared" si="106"/>
        <v>4.8073820689323363E+61</v>
      </c>
      <c r="FQS53" s="760">
        <f t="shared" si="106"/>
        <v>4.9516035310003065E+61</v>
      </c>
      <c r="FQT53" s="760">
        <f t="shared" si="106"/>
        <v>5.1001516369303159E+61</v>
      </c>
      <c r="FQU53" s="760">
        <f t="shared" si="106"/>
        <v>5.2531561860382249E+61</v>
      </c>
      <c r="FQV53" s="760">
        <f t="shared" si="106"/>
        <v>5.4107508716193713E+61</v>
      </c>
      <c r="FQW53" s="760">
        <f t="shared" si="106"/>
        <v>5.573073397767952E+61</v>
      </c>
      <c r="FQX53" s="760">
        <f t="shared" si="106"/>
        <v>5.7402655997009903E+61</v>
      </c>
      <c r="FQY53" s="760">
        <f t="shared" si="106"/>
        <v>5.9124735676920206E+61</v>
      </c>
      <c r="FQZ53" s="760">
        <f t="shared" si="106"/>
        <v>6.089847774722781E+61</v>
      </c>
      <c r="FRA53" s="760">
        <f t="shared" si="106"/>
        <v>6.2725432079644644E+61</v>
      </c>
      <c r="FRB53" s="760">
        <f t="shared" si="106"/>
        <v>6.4607195042033986E+61</v>
      </c>
      <c r="FRC53" s="760">
        <f t="shared" si="106"/>
        <v>6.6545410893295002E+61</v>
      </c>
      <c r="FRD53" s="760">
        <f t="shared" si="106"/>
        <v>6.8541773220093856E+61</v>
      </c>
      <c r="FRE53" s="760">
        <f t="shared" si="106"/>
        <v>7.0598026416696676E+61</v>
      </c>
      <c r="FRF53" s="760">
        <f t="shared" si="106"/>
        <v>7.2715967209197578E+61</v>
      </c>
      <c r="FRG53" s="760">
        <f t="shared" si="106"/>
        <v>7.4897446225473507E+61</v>
      </c>
      <c r="FRH53" s="760">
        <f t="shared" si="106"/>
        <v>7.7144369612237719E+61</v>
      </c>
      <c r="FRI53" s="760">
        <f t="shared" si="106"/>
        <v>7.9458700700604854E+61</v>
      </c>
      <c r="FRJ53" s="760">
        <f t="shared" si="106"/>
        <v>8.1842461721623007E+61</v>
      </c>
      <c r="FRK53" s="760">
        <f t="shared" si="106"/>
        <v>8.42977355732717E+61</v>
      </c>
      <c r="FRL53" s="760">
        <f t="shared" si="106"/>
        <v>8.6826667640469855E+61</v>
      </c>
      <c r="FRM53" s="760">
        <f t="shared" si="106"/>
        <v>8.9431467669683957E+61</v>
      </c>
      <c r="FRN53" s="760">
        <f t="shared" si="106"/>
        <v>9.2114411699774476E+61</v>
      </c>
      <c r="FRO53" s="760">
        <f t="shared" si="106"/>
        <v>9.4877844050767709E+61</v>
      </c>
      <c r="FRP53" s="760">
        <f t="shared" si="106"/>
        <v>9.7724179372290743E+61</v>
      </c>
      <c r="FRQ53" s="760">
        <f t="shared" si="106"/>
        <v>1.0065590475345947E+62</v>
      </c>
      <c r="FRR53" s="760">
        <f t="shared" si="106"/>
        <v>1.0367558189606325E+62</v>
      </c>
      <c r="FRS53" s="760">
        <f t="shared" si="106"/>
        <v>1.0678584935294515E+62</v>
      </c>
      <c r="FRT53" s="760">
        <f t="shared" si="106"/>
        <v>1.0998942483353349E+62</v>
      </c>
      <c r="FRU53" s="760">
        <f t="shared" si="106"/>
        <v>1.1328910757853949E+62</v>
      </c>
      <c r="FRV53" s="760">
        <f t="shared" si="106"/>
        <v>1.1668778080589568E+62</v>
      </c>
      <c r="FRW53" s="760">
        <f t="shared" si="106"/>
        <v>1.2018841423007254E+62</v>
      </c>
      <c r="FRX53" s="760">
        <f t="shared" si="106"/>
        <v>1.2379406665697472E+62</v>
      </c>
      <c r="FRY53" s="760">
        <f t="shared" si="106"/>
        <v>1.2750788865668397E+62</v>
      </c>
      <c r="FRZ53" s="760">
        <f t="shared" si="106"/>
        <v>1.313331253163845E+62</v>
      </c>
      <c r="FSA53" s="760">
        <f t="shared" ref="FSA53:FUL53" si="107">+FRZ53*$C$53</f>
        <v>1.3527311907587604E+62</v>
      </c>
      <c r="FSB53" s="760">
        <f t="shared" si="107"/>
        <v>1.3933131264815234E+62</v>
      </c>
      <c r="FSC53" s="760">
        <f t="shared" si="107"/>
        <v>1.435112520275969E+62</v>
      </c>
      <c r="FSD53" s="760">
        <f t="shared" si="107"/>
        <v>1.4781658958842481E+62</v>
      </c>
      <c r="FSE53" s="760">
        <f t="shared" si="107"/>
        <v>1.5225108727607755E+62</v>
      </c>
      <c r="FSF53" s="760">
        <f t="shared" si="107"/>
        <v>1.5681861989435988E+62</v>
      </c>
      <c r="FSG53" s="760">
        <f t="shared" si="107"/>
        <v>1.6152317849119069E+62</v>
      </c>
      <c r="FSH53" s="760">
        <f t="shared" si="107"/>
        <v>1.663688738459264E+62</v>
      </c>
      <c r="FSI53" s="760">
        <f t="shared" si="107"/>
        <v>1.713599400613042E+62</v>
      </c>
      <c r="FSJ53" s="760">
        <f t="shared" si="107"/>
        <v>1.7650073826314333E+62</v>
      </c>
      <c r="FSK53" s="760">
        <f t="shared" si="107"/>
        <v>1.8179576041103763E+62</v>
      </c>
      <c r="FSL53" s="760">
        <f t="shared" si="107"/>
        <v>1.8724963322336877E+62</v>
      </c>
      <c r="FSM53" s="760">
        <f t="shared" si="107"/>
        <v>1.9286712222006983E+62</v>
      </c>
      <c r="FSN53" s="760">
        <f t="shared" si="107"/>
        <v>1.9865313588667194E+62</v>
      </c>
      <c r="FSO53" s="760">
        <f t="shared" si="107"/>
        <v>2.0461272996327209E+62</v>
      </c>
      <c r="FSP53" s="760">
        <f t="shared" si="107"/>
        <v>2.1075111186217025E+62</v>
      </c>
      <c r="FSQ53" s="760">
        <f t="shared" si="107"/>
        <v>2.1707364521803535E+62</v>
      </c>
      <c r="FSR53" s="760">
        <f t="shared" si="107"/>
        <v>2.235858545745764E+62</v>
      </c>
      <c r="FSS53" s="760">
        <f t="shared" si="107"/>
        <v>2.3029343021181372E+62</v>
      </c>
      <c r="FST53" s="760">
        <f t="shared" si="107"/>
        <v>2.3720223311816811E+62</v>
      </c>
      <c r="FSU53" s="760">
        <f t="shared" si="107"/>
        <v>2.4431830011171314E+62</v>
      </c>
      <c r="FSV53" s="760">
        <f t="shared" si="107"/>
        <v>2.5164784911506455E+62</v>
      </c>
      <c r="FSW53" s="760">
        <f t="shared" si="107"/>
        <v>2.591972845885165E+62</v>
      </c>
      <c r="FSX53" s="760">
        <f t="shared" si="107"/>
        <v>2.66973203126172E+62</v>
      </c>
      <c r="FSY53" s="760">
        <f t="shared" si="107"/>
        <v>2.7498239921995716E+62</v>
      </c>
      <c r="FSZ53" s="760">
        <f t="shared" si="107"/>
        <v>2.832318711965559E+62</v>
      </c>
      <c r="FTA53" s="760">
        <f t="shared" si="107"/>
        <v>2.9172882733245257E+62</v>
      </c>
      <c r="FTB53" s="760">
        <f t="shared" si="107"/>
        <v>3.0048069215242614E+62</v>
      </c>
      <c r="FTC53" s="760">
        <f t="shared" si="107"/>
        <v>3.0949511291699891E+62</v>
      </c>
      <c r="FTD53" s="760">
        <f t="shared" si="107"/>
        <v>3.1877996630450887E+62</v>
      </c>
      <c r="FTE53" s="760">
        <f t="shared" si="107"/>
        <v>3.2834336529364415E+62</v>
      </c>
      <c r="FTF53" s="760">
        <f t="shared" si="107"/>
        <v>3.3819366625245349E+62</v>
      </c>
      <c r="FTG53" s="760">
        <f t="shared" si="107"/>
        <v>3.4833947624002708E+62</v>
      </c>
      <c r="FTH53" s="760">
        <f t="shared" si="107"/>
        <v>3.5878966052722789E+62</v>
      </c>
      <c r="FTI53" s="760">
        <f t="shared" si="107"/>
        <v>3.6955335034304472E+62</v>
      </c>
      <c r="FTJ53" s="760">
        <f t="shared" si="107"/>
        <v>3.8063995085333608E+62</v>
      </c>
      <c r="FTK53" s="760">
        <f t="shared" si="107"/>
        <v>3.9205914937893617E+62</v>
      </c>
      <c r="FTL53" s="760">
        <f t="shared" si="107"/>
        <v>4.0382092386030424E+62</v>
      </c>
      <c r="FTM53" s="760">
        <f t="shared" si="107"/>
        <v>4.1593555157611338E+62</v>
      </c>
      <c r="FTN53" s="760">
        <f t="shared" si="107"/>
        <v>4.2841361812339676E+62</v>
      </c>
      <c r="FTO53" s="760">
        <f t="shared" si="107"/>
        <v>4.4126602666709869E+62</v>
      </c>
      <c r="FTP53" s="760">
        <f t="shared" si="107"/>
        <v>4.545040074671117E+62</v>
      </c>
      <c r="FTQ53" s="760">
        <f t="shared" si="107"/>
        <v>4.681391276911251E+62</v>
      </c>
      <c r="FTR53" s="760">
        <f t="shared" si="107"/>
        <v>4.8218330152185888E+62</v>
      </c>
      <c r="FTS53" s="760">
        <f t="shared" si="107"/>
        <v>4.9664880056751464E+62</v>
      </c>
      <c r="FTT53" s="760">
        <f t="shared" si="107"/>
        <v>5.115482645845401E+62</v>
      </c>
      <c r="FTU53" s="760">
        <f t="shared" si="107"/>
        <v>5.2689471252207628E+62</v>
      </c>
      <c r="FTV53" s="760">
        <f t="shared" si="107"/>
        <v>5.4270155389773854E+62</v>
      </c>
      <c r="FTW53" s="760">
        <f t="shared" si="107"/>
        <v>5.5898260051467073E+62</v>
      </c>
      <c r="FTX53" s="760">
        <f t="shared" si="107"/>
        <v>5.7575207853011083E+62</v>
      </c>
      <c r="FTY53" s="760">
        <f t="shared" si="107"/>
        <v>5.9302464088601417E+62</v>
      </c>
      <c r="FTZ53" s="760">
        <f t="shared" si="107"/>
        <v>6.1081538011259459E+62</v>
      </c>
      <c r="FUA53" s="760">
        <f t="shared" si="107"/>
        <v>6.2913984151597242E+62</v>
      </c>
      <c r="FUB53" s="760">
        <f t="shared" si="107"/>
        <v>6.4801403676145158E+62</v>
      </c>
      <c r="FUC53" s="760">
        <f t="shared" si="107"/>
        <v>6.6745445786429517E+62</v>
      </c>
      <c r="FUD53" s="760">
        <f t="shared" si="107"/>
        <v>6.8747809160022401E+62</v>
      </c>
      <c r="FUE53" s="760">
        <f t="shared" si="107"/>
        <v>7.0810243434823073E+62</v>
      </c>
      <c r="FUF53" s="760">
        <f t="shared" si="107"/>
        <v>7.293455073786777E+62</v>
      </c>
      <c r="FUG53" s="760">
        <f t="shared" si="107"/>
        <v>7.5122587260003805E+62</v>
      </c>
      <c r="FUH53" s="760">
        <f t="shared" si="107"/>
        <v>7.7376264877803917E+62</v>
      </c>
      <c r="FUI53" s="760">
        <f t="shared" si="107"/>
        <v>7.9697552824138036E+62</v>
      </c>
      <c r="FUJ53" s="760">
        <f t="shared" si="107"/>
        <v>8.2088479408862179E+62</v>
      </c>
      <c r="FUK53" s="760">
        <f t="shared" si="107"/>
        <v>8.4551133791128043E+62</v>
      </c>
      <c r="FUL53" s="760">
        <f t="shared" si="107"/>
        <v>8.7087667804861893E+62</v>
      </c>
      <c r="FUM53" s="760">
        <f t="shared" ref="FUM53:FWX53" si="108">+FUL53*$C$53</f>
        <v>8.970029783900776E+62</v>
      </c>
      <c r="FUN53" s="760">
        <f t="shared" si="108"/>
        <v>9.2391306774177992E+62</v>
      </c>
      <c r="FUO53" s="760">
        <f t="shared" si="108"/>
        <v>9.5163045977403338E+62</v>
      </c>
      <c r="FUP53" s="760">
        <f t="shared" si="108"/>
        <v>9.8017937356725435E+62</v>
      </c>
      <c r="FUQ53" s="760">
        <f t="shared" si="108"/>
        <v>1.0095847547742719E+63</v>
      </c>
      <c r="FUR53" s="760">
        <f t="shared" si="108"/>
        <v>1.0398722974175001E+63</v>
      </c>
      <c r="FUS53" s="760">
        <f t="shared" si="108"/>
        <v>1.0710684663400252E+63</v>
      </c>
      <c r="FUT53" s="760">
        <f t="shared" si="108"/>
        <v>1.1032005203302259E+63</v>
      </c>
      <c r="FUU53" s="760">
        <f t="shared" si="108"/>
        <v>1.1362965359401327E+63</v>
      </c>
      <c r="FUV53" s="760">
        <f t="shared" si="108"/>
        <v>1.1703854320183366E+63</v>
      </c>
      <c r="FUW53" s="760">
        <f t="shared" si="108"/>
        <v>1.2054969949788868E+63</v>
      </c>
      <c r="FUX53" s="760">
        <f t="shared" si="108"/>
        <v>1.2416619048282534E+63</v>
      </c>
      <c r="FUY53" s="760">
        <f t="shared" si="108"/>
        <v>1.2789117619731011E+63</v>
      </c>
      <c r="FUZ53" s="760">
        <f t="shared" si="108"/>
        <v>1.3172791148322941E+63</v>
      </c>
      <c r="FVA53" s="760">
        <f t="shared" si="108"/>
        <v>1.3567974882772631E+63</v>
      </c>
      <c r="FVB53" s="760">
        <f t="shared" si="108"/>
        <v>1.3975014129255809E+63</v>
      </c>
      <c r="FVC53" s="760">
        <f t="shared" si="108"/>
        <v>1.4394264553133485E+63</v>
      </c>
      <c r="FVD53" s="760">
        <f t="shared" si="108"/>
        <v>1.4826092489727489E+63</v>
      </c>
      <c r="FVE53" s="760">
        <f t="shared" si="108"/>
        <v>1.5270875264419314E+63</v>
      </c>
      <c r="FVF53" s="760">
        <f t="shared" si="108"/>
        <v>1.5729001522351894E+63</v>
      </c>
      <c r="FVG53" s="760">
        <f t="shared" si="108"/>
        <v>1.6200871568022451E+63</v>
      </c>
      <c r="FVH53" s="760">
        <f t="shared" si="108"/>
        <v>1.6686897715063126E+63</v>
      </c>
      <c r="FVI53" s="760">
        <f t="shared" si="108"/>
        <v>1.7187504646515021E+63</v>
      </c>
      <c r="FVJ53" s="760">
        <f t="shared" si="108"/>
        <v>1.7703129785910472E+63</v>
      </c>
      <c r="FVK53" s="760">
        <f t="shared" si="108"/>
        <v>1.8234223679487786E+63</v>
      </c>
      <c r="FVL53" s="760">
        <f t="shared" si="108"/>
        <v>1.8781250389872421E+63</v>
      </c>
      <c r="FVM53" s="760">
        <f t="shared" si="108"/>
        <v>1.9344687901568595E+63</v>
      </c>
      <c r="FVN53" s="760">
        <f t="shared" si="108"/>
        <v>1.9925028538615652E+63</v>
      </c>
      <c r="FVO53" s="760">
        <f t="shared" si="108"/>
        <v>2.0522779394774121E+63</v>
      </c>
      <c r="FVP53" s="760">
        <f t="shared" si="108"/>
        <v>2.1138462776617347E+63</v>
      </c>
      <c r="FVQ53" s="760">
        <f t="shared" si="108"/>
        <v>2.1772616659915868E+63</v>
      </c>
      <c r="FVR53" s="760">
        <f t="shared" si="108"/>
        <v>2.2425795159713345E+63</v>
      </c>
      <c r="FVS53" s="760">
        <f t="shared" si="108"/>
        <v>2.3098569014504747E+63</v>
      </c>
      <c r="FVT53" s="760">
        <f t="shared" si="108"/>
        <v>2.3791526084939889E+63</v>
      </c>
      <c r="FVU53" s="760">
        <f t="shared" si="108"/>
        <v>2.4505271867488088E+63</v>
      </c>
      <c r="FVV53" s="760">
        <f t="shared" si="108"/>
        <v>2.5240430023512732E+63</v>
      </c>
      <c r="FVW53" s="760">
        <f t="shared" si="108"/>
        <v>2.5997642924218115E+63</v>
      </c>
      <c r="FVX53" s="760">
        <f t="shared" si="108"/>
        <v>2.677757221194466E+63</v>
      </c>
      <c r="FVY53" s="760">
        <f t="shared" si="108"/>
        <v>2.7580899378303002E+63</v>
      </c>
      <c r="FVZ53" s="760">
        <f t="shared" si="108"/>
        <v>2.8408326359652091E+63</v>
      </c>
      <c r="FWA53" s="760">
        <f t="shared" si="108"/>
        <v>2.9260576150441654E+63</v>
      </c>
      <c r="FWB53" s="760">
        <f t="shared" si="108"/>
        <v>3.0138393434954904E+63</v>
      </c>
      <c r="FWC53" s="760">
        <f t="shared" si="108"/>
        <v>3.1042545238003553E+63</v>
      </c>
      <c r="FWD53" s="760">
        <f t="shared" si="108"/>
        <v>3.1973821595143661E+63</v>
      </c>
      <c r="FWE53" s="760">
        <f t="shared" si="108"/>
        <v>3.2933036242997972E+63</v>
      </c>
      <c r="FWF53" s="760">
        <f t="shared" si="108"/>
        <v>3.3921027330287908E+63</v>
      </c>
      <c r="FWG53" s="760">
        <f t="shared" si="108"/>
        <v>3.493865815019655E+63</v>
      </c>
      <c r="FWH53" s="760">
        <f t="shared" si="108"/>
        <v>3.5986817894702445E+63</v>
      </c>
      <c r="FWI53" s="760">
        <f t="shared" si="108"/>
        <v>3.7066422431543521E+63</v>
      </c>
      <c r="FWJ53" s="760">
        <f t="shared" si="108"/>
        <v>3.8178415104489825E+63</v>
      </c>
      <c r="FWK53" s="760">
        <f t="shared" si="108"/>
        <v>3.932376755762452E+63</v>
      </c>
      <c r="FWL53" s="760">
        <f t="shared" si="108"/>
        <v>4.0503480584353257E+63</v>
      </c>
      <c r="FWM53" s="760">
        <f t="shared" si="108"/>
        <v>4.1718585001883853E+63</v>
      </c>
      <c r="FWN53" s="760">
        <f t="shared" si="108"/>
        <v>4.2970142551940371E+63</v>
      </c>
      <c r="FWO53" s="760">
        <f t="shared" si="108"/>
        <v>4.425924682849858E+63</v>
      </c>
      <c r="FWP53" s="760">
        <f t="shared" si="108"/>
        <v>4.5587024233353542E+63</v>
      </c>
      <c r="FWQ53" s="760">
        <f t="shared" si="108"/>
        <v>4.6954634960354152E+63</v>
      </c>
      <c r="FWR53" s="760">
        <f t="shared" si="108"/>
        <v>4.8363274009164781E+63</v>
      </c>
      <c r="FWS53" s="760">
        <f t="shared" si="108"/>
        <v>4.9814172229439726E+63</v>
      </c>
      <c r="FWT53" s="760">
        <f t="shared" si="108"/>
        <v>5.130859739632292E+63</v>
      </c>
      <c r="FWU53" s="760">
        <f t="shared" si="108"/>
        <v>5.2847855318212606E+63</v>
      </c>
      <c r="FWV53" s="760">
        <f t="shared" si="108"/>
        <v>5.4433290977758985E+63</v>
      </c>
      <c r="FWW53" s="760">
        <f t="shared" si="108"/>
        <v>5.6066289707091758E+63</v>
      </c>
      <c r="FWX53" s="760">
        <f t="shared" si="108"/>
        <v>5.7748278398304516E+63</v>
      </c>
      <c r="FWY53" s="760">
        <f t="shared" ref="FWY53:FZJ53" si="109">+FWX53*$C$53</f>
        <v>5.9480726750253651E+63</v>
      </c>
      <c r="FWZ53" s="760">
        <f t="shared" si="109"/>
        <v>6.126514855276126E+63</v>
      </c>
      <c r="FXA53" s="760">
        <f t="shared" si="109"/>
        <v>6.3103103009344099E+63</v>
      </c>
      <c r="FXB53" s="760">
        <f t="shared" si="109"/>
        <v>6.4996196099624421E+63</v>
      </c>
      <c r="FXC53" s="760">
        <f t="shared" si="109"/>
        <v>6.6946081982613159E+63</v>
      </c>
      <c r="FXD53" s="760">
        <f t="shared" si="109"/>
        <v>6.8954464442091557E+63</v>
      </c>
      <c r="FXE53" s="760">
        <f t="shared" si="109"/>
        <v>7.1023098375354312E+63</v>
      </c>
      <c r="FXF53" s="760">
        <f t="shared" si="109"/>
        <v>7.3153791326614942E+63</v>
      </c>
      <c r="FXG53" s="760">
        <f t="shared" si="109"/>
        <v>7.5348405066413393E+63</v>
      </c>
      <c r="FXH53" s="760">
        <f t="shared" si="109"/>
        <v>7.76088572184058E+63</v>
      </c>
      <c r="FXI53" s="760">
        <f t="shared" si="109"/>
        <v>7.9937122934957972E+63</v>
      </c>
      <c r="FXJ53" s="760">
        <f t="shared" si="109"/>
        <v>8.2335236623006707E+63</v>
      </c>
      <c r="FXK53" s="760">
        <f t="shared" si="109"/>
        <v>8.4805293721696905E+63</v>
      </c>
      <c r="FXL53" s="760">
        <f t="shared" si="109"/>
        <v>8.734945253334782E+63</v>
      </c>
      <c r="FXM53" s="760">
        <f t="shared" si="109"/>
        <v>8.9969936109348253E+63</v>
      </c>
      <c r="FXN53" s="760">
        <f t="shared" si="109"/>
        <v>9.266903419262871E+63</v>
      </c>
      <c r="FXO53" s="760">
        <f t="shared" si="109"/>
        <v>9.5449105218407575E+63</v>
      </c>
      <c r="FXP53" s="760">
        <f t="shared" si="109"/>
        <v>9.8312578374959804E+63</v>
      </c>
      <c r="FXQ53" s="760">
        <f t="shared" si="109"/>
        <v>1.012619557262086E+64</v>
      </c>
      <c r="FXR53" s="760">
        <f t="shared" si="109"/>
        <v>1.0429981439799485E+64</v>
      </c>
      <c r="FXS53" s="760">
        <f t="shared" si="109"/>
        <v>1.0742880882993469E+64</v>
      </c>
      <c r="FXT53" s="760">
        <f t="shared" si="109"/>
        <v>1.1065167309483274E+64</v>
      </c>
      <c r="FXU53" s="760">
        <f t="shared" si="109"/>
        <v>1.1397122328767772E+64</v>
      </c>
      <c r="FXV53" s="760">
        <f t="shared" si="109"/>
        <v>1.1739035998630807E+64</v>
      </c>
      <c r="FXW53" s="760">
        <f t="shared" si="109"/>
        <v>1.2091207078589731E+64</v>
      </c>
      <c r="FXX53" s="760">
        <f t="shared" si="109"/>
        <v>1.2453943290947423E+64</v>
      </c>
      <c r="FXY53" s="760">
        <f t="shared" si="109"/>
        <v>1.2827561589675846E+64</v>
      </c>
      <c r="FXZ53" s="760">
        <f t="shared" si="109"/>
        <v>1.321238843736612E+64</v>
      </c>
      <c r="FYA53" s="760">
        <f t="shared" si="109"/>
        <v>1.3608760090487104E+64</v>
      </c>
      <c r="FYB53" s="760">
        <f t="shared" si="109"/>
        <v>1.4017022893201719E+64</v>
      </c>
      <c r="FYC53" s="760">
        <f t="shared" si="109"/>
        <v>1.443753357999777E+64</v>
      </c>
      <c r="FYD53" s="760">
        <f t="shared" si="109"/>
        <v>1.4870659587397702E+64</v>
      </c>
      <c r="FYE53" s="760">
        <f t="shared" si="109"/>
        <v>1.5316779375019635E+64</v>
      </c>
      <c r="FYF53" s="760">
        <f t="shared" si="109"/>
        <v>1.5776282756270225E+64</v>
      </c>
      <c r="FYG53" s="760">
        <f t="shared" si="109"/>
        <v>1.6249571238958331E+64</v>
      </c>
      <c r="FYH53" s="760">
        <f t="shared" si="109"/>
        <v>1.6737058376127081E+64</v>
      </c>
      <c r="FYI53" s="760">
        <f t="shared" si="109"/>
        <v>1.7239170127410893E+64</v>
      </c>
      <c r="FYJ53" s="760">
        <f t="shared" si="109"/>
        <v>1.7756345231233221E+64</v>
      </c>
      <c r="FYK53" s="760">
        <f t="shared" si="109"/>
        <v>1.8289035588170219E+64</v>
      </c>
      <c r="FYL53" s="760">
        <f t="shared" si="109"/>
        <v>1.8837706655815327E+64</v>
      </c>
      <c r="FYM53" s="760">
        <f t="shared" si="109"/>
        <v>1.9402837855489787E+64</v>
      </c>
      <c r="FYN53" s="760">
        <f t="shared" si="109"/>
        <v>1.998492299115448E+64</v>
      </c>
      <c r="FYO53" s="760">
        <f t="shared" si="109"/>
        <v>2.0584470680889116E+64</v>
      </c>
      <c r="FYP53" s="760">
        <f t="shared" si="109"/>
        <v>2.1202004801315791E+64</v>
      </c>
      <c r="FYQ53" s="760">
        <f t="shared" si="109"/>
        <v>2.1838064945355266E+64</v>
      </c>
      <c r="FYR53" s="760">
        <f t="shared" si="109"/>
        <v>2.2493206893715925E+64</v>
      </c>
      <c r="FYS53" s="760">
        <f t="shared" si="109"/>
        <v>2.3168003100527405E+64</v>
      </c>
      <c r="FYT53" s="760">
        <f t="shared" si="109"/>
        <v>2.3863043193543228E+64</v>
      </c>
      <c r="FYU53" s="760">
        <f t="shared" si="109"/>
        <v>2.4578934489349525E+64</v>
      </c>
      <c r="FYV53" s="760">
        <f t="shared" si="109"/>
        <v>2.531630252403001E+64</v>
      </c>
      <c r="FYW53" s="760">
        <f t="shared" si="109"/>
        <v>2.6075791599750912E+64</v>
      </c>
      <c r="FYX53" s="760">
        <f t="shared" si="109"/>
        <v>2.6858065347743443E+64</v>
      </c>
      <c r="FYY53" s="760">
        <f t="shared" si="109"/>
        <v>2.7663807308175749E+64</v>
      </c>
      <c r="FYZ53" s="760">
        <f t="shared" si="109"/>
        <v>2.8493721527421022E+64</v>
      </c>
      <c r="FZA53" s="760">
        <f t="shared" si="109"/>
        <v>2.9348533173243655E+64</v>
      </c>
      <c r="FZB53" s="760">
        <f t="shared" si="109"/>
        <v>3.0228989168440964E+64</v>
      </c>
      <c r="FZC53" s="760">
        <f t="shared" si="109"/>
        <v>3.1135858843494192E+64</v>
      </c>
      <c r="FZD53" s="760">
        <f t="shared" si="109"/>
        <v>3.2069934608799016E+64</v>
      </c>
      <c r="FZE53" s="760">
        <f t="shared" si="109"/>
        <v>3.3032032647062988E+64</v>
      </c>
      <c r="FZF53" s="760">
        <f t="shared" si="109"/>
        <v>3.4022993626474879E+64</v>
      </c>
      <c r="FZG53" s="760">
        <f t="shared" si="109"/>
        <v>3.5043683435269126E+64</v>
      </c>
      <c r="FZH53" s="760">
        <f t="shared" si="109"/>
        <v>3.6094993938327199E+64</v>
      </c>
      <c r="FZI53" s="760">
        <f t="shared" si="109"/>
        <v>3.7177843756477015E+64</v>
      </c>
      <c r="FZJ53" s="760">
        <f t="shared" si="109"/>
        <v>3.8293179069171326E+64</v>
      </c>
      <c r="FZK53" s="760">
        <f t="shared" ref="FZK53:GBV53" si="110">+FZJ53*$C$53</f>
        <v>3.9441974441246468E+64</v>
      </c>
      <c r="FZL53" s="760">
        <f t="shared" si="110"/>
        <v>4.0625233674483862E+64</v>
      </c>
      <c r="FZM53" s="760">
        <f t="shared" si="110"/>
        <v>4.1843990684718381E+64</v>
      </c>
      <c r="FZN53" s="760">
        <f t="shared" si="110"/>
        <v>4.3099310405259936E+64</v>
      </c>
      <c r="FZO53" s="760">
        <f t="shared" si="110"/>
        <v>4.4392289717417733E+64</v>
      </c>
      <c r="FZP53" s="760">
        <f t="shared" si="110"/>
        <v>4.5724058408940269E+64</v>
      </c>
      <c r="FZQ53" s="760">
        <f t="shared" si="110"/>
        <v>4.7095780161208478E+64</v>
      </c>
      <c r="FZR53" s="760">
        <f t="shared" si="110"/>
        <v>4.8508653566044731E+64</v>
      </c>
      <c r="FZS53" s="760">
        <f t="shared" si="110"/>
        <v>4.9963913173026075E+64</v>
      </c>
      <c r="FZT53" s="760">
        <f t="shared" si="110"/>
        <v>5.1462830568216861E+64</v>
      </c>
      <c r="FZU53" s="760">
        <f t="shared" si="110"/>
        <v>5.3006715485263366E+64</v>
      </c>
      <c r="FZV53" s="760">
        <f t="shared" si="110"/>
        <v>5.4596916949821266E+64</v>
      </c>
      <c r="FZW53" s="760">
        <f t="shared" si="110"/>
        <v>5.6234824458315903E+64</v>
      </c>
      <c r="FZX53" s="760">
        <f t="shared" si="110"/>
        <v>5.7921869192065386E+64</v>
      </c>
      <c r="FZY53" s="760">
        <f t="shared" si="110"/>
        <v>5.9659525267827352E+64</v>
      </c>
      <c r="FZZ53" s="760">
        <f t="shared" si="110"/>
        <v>6.1449311025862179E+64</v>
      </c>
      <c r="GAA53" s="760">
        <f t="shared" si="110"/>
        <v>6.3292790356638049E+64</v>
      </c>
      <c r="GAB53" s="760">
        <f t="shared" si="110"/>
        <v>6.5191574067337198E+64</v>
      </c>
      <c r="GAC53" s="760">
        <f t="shared" si="110"/>
        <v>6.7147321289357317E+64</v>
      </c>
      <c r="GAD53" s="760">
        <f t="shared" si="110"/>
        <v>6.9161740928038037E+64</v>
      </c>
      <c r="GAE53" s="760">
        <f t="shared" si="110"/>
        <v>7.1236593155879176E+64</v>
      </c>
      <c r="GAF53" s="760">
        <f t="shared" si="110"/>
        <v>7.3373690950555552E+64</v>
      </c>
      <c r="GAG53" s="760">
        <f t="shared" si="110"/>
        <v>7.5574901679072222E+64</v>
      </c>
      <c r="GAH53" s="760">
        <f t="shared" si="110"/>
        <v>7.7842148729444386E+64</v>
      </c>
      <c r="GAI53" s="760">
        <f t="shared" si="110"/>
        <v>8.0177413191327721E+64</v>
      </c>
      <c r="GAJ53" s="760">
        <f t="shared" si="110"/>
        <v>8.2582735587067555E+64</v>
      </c>
      <c r="GAK53" s="760">
        <f t="shared" si="110"/>
        <v>8.5060217654679588E+64</v>
      </c>
      <c r="GAL53" s="760">
        <f t="shared" si="110"/>
        <v>8.7612024184319973E+64</v>
      </c>
      <c r="GAM53" s="760">
        <f t="shared" si="110"/>
        <v>9.0240384909849576E+64</v>
      </c>
      <c r="GAN53" s="760">
        <f t="shared" si="110"/>
        <v>9.2947596457145064E+64</v>
      </c>
      <c r="GAO53" s="760">
        <f t="shared" si="110"/>
        <v>9.5736024350859418E+64</v>
      </c>
      <c r="GAP53" s="760">
        <f t="shared" si="110"/>
        <v>9.8608105081385201E+64</v>
      </c>
      <c r="GAQ53" s="760">
        <f t="shared" si="110"/>
        <v>1.0156634823382676E+65</v>
      </c>
      <c r="GAR53" s="760">
        <f t="shared" si="110"/>
        <v>1.0461333868084157E+65</v>
      </c>
      <c r="GAS53" s="760">
        <f t="shared" si="110"/>
        <v>1.0775173884126682E+65</v>
      </c>
      <c r="GAT53" s="760">
        <f t="shared" si="110"/>
        <v>1.1098429100650483E+65</v>
      </c>
      <c r="GAU53" s="760">
        <f t="shared" si="110"/>
        <v>1.1431381973669998E+65</v>
      </c>
      <c r="GAV53" s="760">
        <f t="shared" si="110"/>
        <v>1.17743234328801E+65</v>
      </c>
      <c r="GAW53" s="760">
        <f t="shared" si="110"/>
        <v>1.2127553135866503E+65</v>
      </c>
      <c r="GAX53" s="760">
        <f t="shared" si="110"/>
        <v>1.2491379729942497E+65</v>
      </c>
      <c r="GAY53" s="760">
        <f t="shared" si="110"/>
        <v>1.2866121121840772E+65</v>
      </c>
      <c r="GAZ53" s="760">
        <f t="shared" si="110"/>
        <v>1.3252104755495996E+65</v>
      </c>
      <c r="GBA53" s="760">
        <f t="shared" si="110"/>
        <v>1.3649667898160877E+65</v>
      </c>
      <c r="GBB53" s="760">
        <f t="shared" si="110"/>
        <v>1.4059157935105703E+65</v>
      </c>
      <c r="GBC53" s="760">
        <f t="shared" si="110"/>
        <v>1.4480932673158874E+65</v>
      </c>
      <c r="GBD53" s="760">
        <f t="shared" si="110"/>
        <v>1.4915360653353642E+65</v>
      </c>
      <c r="GBE53" s="760">
        <f t="shared" si="110"/>
        <v>1.536282147295425E+65</v>
      </c>
      <c r="GBF53" s="760">
        <f t="shared" si="110"/>
        <v>1.5823706117142878E+65</v>
      </c>
      <c r="GBG53" s="760">
        <f t="shared" si="110"/>
        <v>1.6298417300657166E+65</v>
      </c>
      <c r="GBH53" s="760">
        <f t="shared" si="110"/>
        <v>1.6787369819676882E+65</v>
      </c>
      <c r="GBI53" s="760">
        <f t="shared" si="110"/>
        <v>1.7290990914267189E+65</v>
      </c>
      <c r="GBJ53" s="760">
        <f t="shared" si="110"/>
        <v>1.7809720641695204E+65</v>
      </c>
      <c r="GBK53" s="760">
        <f t="shared" si="110"/>
        <v>1.8344012260946061E+65</v>
      </c>
      <c r="GBL53" s="760">
        <f t="shared" si="110"/>
        <v>1.8894332628774443E+65</v>
      </c>
      <c r="GBM53" s="760">
        <f t="shared" si="110"/>
        <v>1.9461162607637677E+65</v>
      </c>
      <c r="GBN53" s="760">
        <f t="shared" si="110"/>
        <v>2.0044997485866807E+65</v>
      </c>
      <c r="GBO53" s="760">
        <f t="shared" si="110"/>
        <v>2.0646347410442812E+65</v>
      </c>
      <c r="GBP53" s="760">
        <f t="shared" si="110"/>
        <v>2.1265737832756097E+65</v>
      </c>
      <c r="GBQ53" s="760">
        <f t="shared" si="110"/>
        <v>2.1903709967738779E+65</v>
      </c>
      <c r="GBR53" s="760">
        <f t="shared" si="110"/>
        <v>2.2560821266770945E+65</v>
      </c>
      <c r="GBS53" s="760">
        <f t="shared" si="110"/>
        <v>2.3237645904774074E+65</v>
      </c>
      <c r="GBT53" s="760">
        <f t="shared" si="110"/>
        <v>2.3934775281917298E+65</v>
      </c>
      <c r="GBU53" s="760">
        <f t="shared" si="110"/>
        <v>2.4652818540374816E+65</v>
      </c>
      <c r="GBV53" s="760">
        <f t="shared" si="110"/>
        <v>2.539240309658606E+65</v>
      </c>
      <c r="GBW53" s="760">
        <f t="shared" ref="GBW53:GEH53" si="111">+GBV53*$C$53</f>
        <v>2.6154175189483645E+65</v>
      </c>
      <c r="GBX53" s="760">
        <f t="shared" si="111"/>
        <v>2.6938800445168155E+65</v>
      </c>
      <c r="GBY53" s="760">
        <f t="shared" si="111"/>
        <v>2.7746964458523198E+65</v>
      </c>
      <c r="GBZ53" s="760">
        <f t="shared" si="111"/>
        <v>2.8579373392278896E+65</v>
      </c>
      <c r="GCA53" s="760">
        <f t="shared" si="111"/>
        <v>2.9436754594047262E+65</v>
      </c>
      <c r="GCB53" s="760">
        <f t="shared" si="111"/>
        <v>3.0319857231868678E+65</v>
      </c>
      <c r="GCC53" s="760">
        <f t="shared" si="111"/>
        <v>3.1229452948824742E+65</v>
      </c>
      <c r="GCD53" s="760">
        <f t="shared" si="111"/>
        <v>3.2166336537289483E+65</v>
      </c>
      <c r="GCE53" s="760">
        <f t="shared" si="111"/>
        <v>3.3131326633408169E+65</v>
      </c>
      <c r="GCF53" s="760">
        <f t="shared" si="111"/>
        <v>3.4125266432410417E+65</v>
      </c>
      <c r="GCG53" s="760">
        <f t="shared" si="111"/>
        <v>3.514902442538273E+65</v>
      </c>
      <c r="GCH53" s="760">
        <f t="shared" si="111"/>
        <v>3.6203495158144213E+65</v>
      </c>
      <c r="GCI53" s="760">
        <f t="shared" si="111"/>
        <v>3.7289600012888541E+65</v>
      </c>
      <c r="GCJ53" s="760">
        <f t="shared" si="111"/>
        <v>3.8408288013275198E+65</v>
      </c>
      <c r="GCK53" s="760">
        <f t="shared" si="111"/>
        <v>3.9560536653673455E+65</v>
      </c>
      <c r="GCL53" s="760">
        <f t="shared" si="111"/>
        <v>4.0747352753283662E+65</v>
      </c>
      <c r="GCM53" s="760">
        <f t="shared" si="111"/>
        <v>4.1969773335882171E+65</v>
      </c>
      <c r="GCN53" s="760">
        <f t="shared" si="111"/>
        <v>4.3228866535958635E+65</v>
      </c>
      <c r="GCO53" s="760">
        <f t="shared" si="111"/>
        <v>4.4525732532037396E+65</v>
      </c>
      <c r="GCP53" s="760">
        <f t="shared" si="111"/>
        <v>4.5861504507998515E+65</v>
      </c>
      <c r="GCQ53" s="760">
        <f t="shared" si="111"/>
        <v>4.723734964323847E+65</v>
      </c>
      <c r="GCR53" s="760">
        <f t="shared" si="111"/>
        <v>4.8654470132535626E+65</v>
      </c>
      <c r="GCS53" s="760">
        <f t="shared" si="111"/>
        <v>5.0114104236511693E+65</v>
      </c>
      <c r="GCT53" s="760">
        <f t="shared" si="111"/>
        <v>5.1617527363607041E+65</v>
      </c>
      <c r="GCU53" s="760">
        <f t="shared" si="111"/>
        <v>5.3166053184515257E+65</v>
      </c>
      <c r="GCV53" s="760">
        <f t="shared" si="111"/>
        <v>5.4761034780050718E+65</v>
      </c>
      <c r="GCW53" s="760">
        <f t="shared" si="111"/>
        <v>5.6403865823452239E+65</v>
      </c>
      <c r="GCX53" s="760">
        <f t="shared" si="111"/>
        <v>5.8095981798155805E+65</v>
      </c>
      <c r="GCY53" s="760">
        <f t="shared" si="111"/>
        <v>5.9838861252100477E+65</v>
      </c>
      <c r="GCZ53" s="760">
        <f t="shared" si="111"/>
        <v>6.1634027089663492E+65</v>
      </c>
      <c r="GDA53" s="760">
        <f t="shared" si="111"/>
        <v>6.3483047902353398E+65</v>
      </c>
      <c r="GDB53" s="760">
        <f t="shared" si="111"/>
        <v>6.5387539339424E+65</v>
      </c>
      <c r="GDC53" s="760">
        <f t="shared" si="111"/>
        <v>6.7349165519606718E+65</v>
      </c>
      <c r="GDD53" s="760">
        <f t="shared" si="111"/>
        <v>6.9369640485194924E+65</v>
      </c>
      <c r="GDE53" s="760">
        <f t="shared" si="111"/>
        <v>7.145072969975077E+65</v>
      </c>
      <c r="GDF53" s="760">
        <f t="shared" si="111"/>
        <v>7.3594251590743291E+65</v>
      </c>
      <c r="GDG53" s="760">
        <f t="shared" si="111"/>
        <v>7.5802079138465588E+65</v>
      </c>
      <c r="GDH53" s="760">
        <f t="shared" si="111"/>
        <v>7.8076141512619556E+65</v>
      </c>
      <c r="GDI53" s="760">
        <f t="shared" si="111"/>
        <v>8.0418425757998147E+65</v>
      </c>
      <c r="GDJ53" s="760">
        <f t="shared" si="111"/>
        <v>8.2830978530738091E+65</v>
      </c>
      <c r="GDK53" s="760">
        <f t="shared" si="111"/>
        <v>8.5315907886660231E+65</v>
      </c>
      <c r="GDL53" s="760">
        <f t="shared" si="111"/>
        <v>8.7875385123260035E+65</v>
      </c>
      <c r="GDM53" s="760">
        <f t="shared" si="111"/>
        <v>9.0511646676957835E+65</v>
      </c>
      <c r="GDN53" s="760">
        <f t="shared" si="111"/>
        <v>9.3226996077266572E+65</v>
      </c>
      <c r="GDO53" s="760">
        <f t="shared" si="111"/>
        <v>9.6023805959584569E+65</v>
      </c>
      <c r="GDP53" s="760">
        <f t="shared" si="111"/>
        <v>9.8904520138372107E+65</v>
      </c>
      <c r="GDQ53" s="760">
        <f t="shared" si="111"/>
        <v>1.0187165574252326E+66</v>
      </c>
      <c r="GDR53" s="760">
        <f t="shared" si="111"/>
        <v>1.0492780541479896E+66</v>
      </c>
      <c r="GDS53" s="760">
        <f t="shared" si="111"/>
        <v>1.0807563957724292E+66</v>
      </c>
      <c r="GDT53" s="760">
        <f t="shared" si="111"/>
        <v>1.1131790876456021E+66</v>
      </c>
      <c r="GDU53" s="760">
        <f t="shared" si="111"/>
        <v>1.1465744602749702E+66</v>
      </c>
      <c r="GDV53" s="760">
        <f t="shared" si="111"/>
        <v>1.1809716940832194E+66</v>
      </c>
      <c r="GDW53" s="760">
        <f t="shared" si="111"/>
        <v>1.2164008449057161E+66</v>
      </c>
      <c r="GDX53" s="760">
        <f t="shared" si="111"/>
        <v>1.2528928702528876E+66</v>
      </c>
      <c r="GDY53" s="760">
        <f t="shared" si="111"/>
        <v>1.2904796563604742E+66</v>
      </c>
      <c r="GDZ53" s="760">
        <f t="shared" si="111"/>
        <v>1.3291940460512884E+66</v>
      </c>
      <c r="GEA53" s="760">
        <f t="shared" si="111"/>
        <v>1.3690698674328272E+66</v>
      </c>
      <c r="GEB53" s="760">
        <f t="shared" si="111"/>
        <v>1.410141963455812E+66</v>
      </c>
      <c r="GEC53" s="760">
        <f t="shared" si="111"/>
        <v>1.4524462223594864E+66</v>
      </c>
      <c r="GED53" s="760">
        <f t="shared" si="111"/>
        <v>1.4960196090302711E+66</v>
      </c>
      <c r="GEE53" s="760">
        <f t="shared" si="111"/>
        <v>1.5409001973011793E+66</v>
      </c>
      <c r="GEF53" s="760">
        <f t="shared" si="111"/>
        <v>1.5871272032202147E+66</v>
      </c>
      <c r="GEG53" s="760">
        <f t="shared" si="111"/>
        <v>1.6347410193168212E+66</v>
      </c>
      <c r="GEH53" s="760">
        <f t="shared" si="111"/>
        <v>1.6837832498963259E+66</v>
      </c>
      <c r="GEI53" s="760">
        <f t="shared" ref="GEI53:GGT53" si="112">+GEH53*$C$53</f>
        <v>1.7342967473932157E+66</v>
      </c>
      <c r="GEJ53" s="760">
        <f t="shared" si="112"/>
        <v>1.7863256498150122E+66</v>
      </c>
      <c r="GEK53" s="760">
        <f t="shared" si="112"/>
        <v>1.8399154193094625E+66</v>
      </c>
      <c r="GEL53" s="760">
        <f t="shared" si="112"/>
        <v>1.8951128818887465E+66</v>
      </c>
      <c r="GEM53" s="760">
        <f t="shared" si="112"/>
        <v>1.951966268345409E+66</v>
      </c>
      <c r="GEN53" s="760">
        <f t="shared" si="112"/>
        <v>2.0105252563957713E+66</v>
      </c>
      <c r="GEO53" s="760">
        <f t="shared" si="112"/>
        <v>2.0708410140876447E+66</v>
      </c>
      <c r="GEP53" s="760">
        <f t="shared" si="112"/>
        <v>2.1329662445102741E+66</v>
      </c>
      <c r="GEQ53" s="760">
        <f t="shared" si="112"/>
        <v>2.1969552318455822E+66</v>
      </c>
      <c r="GER53" s="760">
        <f t="shared" si="112"/>
        <v>2.2628638888009498E+66</v>
      </c>
      <c r="GES53" s="760">
        <f t="shared" si="112"/>
        <v>2.3307498054649783E+66</v>
      </c>
      <c r="GET53" s="760">
        <f t="shared" si="112"/>
        <v>2.4006722996289275E+66</v>
      </c>
      <c r="GEU53" s="760">
        <f t="shared" si="112"/>
        <v>2.4726924686177952E+66</v>
      </c>
      <c r="GEV53" s="760">
        <f t="shared" si="112"/>
        <v>2.5468732426763291E+66</v>
      </c>
      <c r="GEW53" s="760">
        <f t="shared" si="112"/>
        <v>2.6232794399566189E+66</v>
      </c>
      <c r="GEX53" s="760">
        <f t="shared" si="112"/>
        <v>2.7019778231553175E+66</v>
      </c>
      <c r="GEY53" s="760">
        <f t="shared" si="112"/>
        <v>2.783037157849977E+66</v>
      </c>
      <c r="GEZ53" s="760">
        <f t="shared" si="112"/>
        <v>2.8665282725854763E+66</v>
      </c>
      <c r="GFA53" s="760">
        <f t="shared" si="112"/>
        <v>2.9525241207630406E+66</v>
      </c>
      <c r="GFB53" s="760">
        <f t="shared" si="112"/>
        <v>3.0410998443859321E+66</v>
      </c>
      <c r="GFC53" s="760">
        <f t="shared" si="112"/>
        <v>3.1323328397175102E+66</v>
      </c>
      <c r="GFD53" s="760">
        <f t="shared" si="112"/>
        <v>3.2263028249090355E+66</v>
      </c>
      <c r="GFE53" s="760">
        <f t="shared" si="112"/>
        <v>3.3230919096563066E+66</v>
      </c>
      <c r="GFF53" s="760">
        <f t="shared" si="112"/>
        <v>3.4227846669459962E+66</v>
      </c>
      <c r="GFG53" s="760">
        <f t="shared" si="112"/>
        <v>3.5254682069543762E+66</v>
      </c>
      <c r="GFH53" s="760">
        <f t="shared" si="112"/>
        <v>3.6312322531630075E+66</v>
      </c>
      <c r="GFI53" s="760">
        <f t="shared" si="112"/>
        <v>3.7401692207578978E+66</v>
      </c>
      <c r="GFJ53" s="760">
        <f t="shared" si="112"/>
        <v>3.8523742973806347E+66</v>
      </c>
      <c r="GFK53" s="760">
        <f t="shared" si="112"/>
        <v>3.967945526302054E+66</v>
      </c>
      <c r="GFL53" s="760">
        <f t="shared" si="112"/>
        <v>4.0869838920911156E+66</v>
      </c>
      <c r="GFM53" s="760">
        <f t="shared" si="112"/>
        <v>4.2095934088538492E+66</v>
      </c>
      <c r="GFN53" s="760">
        <f t="shared" si="112"/>
        <v>4.3358812111194646E+66</v>
      </c>
      <c r="GFO53" s="760">
        <f t="shared" si="112"/>
        <v>4.4659576474530488E+66</v>
      </c>
      <c r="GFP53" s="760">
        <f t="shared" si="112"/>
        <v>4.5999363768766402E+66</v>
      </c>
      <c r="GFQ53" s="760">
        <f t="shared" si="112"/>
        <v>4.7379344681829397E+66</v>
      </c>
      <c r="GFR53" s="760">
        <f t="shared" si="112"/>
        <v>4.8800725022284279E+66</v>
      </c>
      <c r="GFS53" s="760">
        <f t="shared" si="112"/>
        <v>5.0264746772952809E+66</v>
      </c>
      <c r="GFT53" s="760">
        <f t="shared" si="112"/>
        <v>5.1772689176141391E+66</v>
      </c>
      <c r="GFU53" s="760">
        <f t="shared" si="112"/>
        <v>5.3325869851425637E+66</v>
      </c>
      <c r="GFV53" s="760">
        <f t="shared" si="112"/>
        <v>5.4925645946968409E+66</v>
      </c>
      <c r="GFW53" s="760">
        <f t="shared" si="112"/>
        <v>5.6573415325377466E+66</v>
      </c>
      <c r="GFX53" s="760">
        <f t="shared" si="112"/>
        <v>5.8270617785138791E+66</v>
      </c>
      <c r="GFY53" s="760">
        <f t="shared" si="112"/>
        <v>6.0018736318692959E+66</v>
      </c>
      <c r="GFZ53" s="760">
        <f t="shared" si="112"/>
        <v>6.1819298408253748E+66</v>
      </c>
      <c r="GGA53" s="760">
        <f t="shared" si="112"/>
        <v>6.3673877360501361E+66</v>
      </c>
      <c r="GGB53" s="760">
        <f t="shared" si="112"/>
        <v>6.5584093681316404E+66</v>
      </c>
      <c r="GGC53" s="760">
        <f t="shared" si="112"/>
        <v>6.7551616491755892E+66</v>
      </c>
      <c r="GGD53" s="760">
        <f t="shared" si="112"/>
        <v>6.9578164986508564E+66</v>
      </c>
      <c r="GGE53" s="760">
        <f t="shared" si="112"/>
        <v>7.166550993610383E+66</v>
      </c>
      <c r="GGF53" s="760">
        <f t="shared" si="112"/>
        <v>7.3815475234186946E+66</v>
      </c>
      <c r="GGG53" s="760">
        <f t="shared" si="112"/>
        <v>7.6029939491212562E+66</v>
      </c>
      <c r="GGH53" s="760">
        <f t="shared" si="112"/>
        <v>7.8310837675948947E+66</v>
      </c>
      <c r="GGI53" s="760">
        <f t="shared" si="112"/>
        <v>8.0660162806227415E+66</v>
      </c>
      <c r="GGJ53" s="760">
        <f t="shared" si="112"/>
        <v>8.3079967690414241E+66</v>
      </c>
      <c r="GGK53" s="760">
        <f t="shared" si="112"/>
        <v>8.5572366721126665E+66</v>
      </c>
      <c r="GGL53" s="760">
        <f t="shared" si="112"/>
        <v>8.8139537722760474E+66</v>
      </c>
      <c r="GGM53" s="760">
        <f t="shared" si="112"/>
        <v>9.0783723854443295E+66</v>
      </c>
      <c r="GGN53" s="760">
        <f t="shared" si="112"/>
        <v>9.3507235570076589E+66</v>
      </c>
      <c r="GGO53" s="760">
        <f t="shared" si="112"/>
        <v>9.631245263717889E+66</v>
      </c>
      <c r="GGP53" s="760">
        <f t="shared" si="112"/>
        <v>9.9201826216294252E+66</v>
      </c>
      <c r="GGQ53" s="760">
        <f t="shared" si="112"/>
        <v>1.0217788100278309E+67</v>
      </c>
      <c r="GGR53" s="760">
        <f t="shared" si="112"/>
        <v>1.0524321743286658E+67</v>
      </c>
      <c r="GGS53" s="760">
        <f t="shared" si="112"/>
        <v>1.0840051395585258E+67</v>
      </c>
      <c r="GGT53" s="760">
        <f t="shared" si="112"/>
        <v>1.1165252937452816E+67</v>
      </c>
      <c r="GGU53" s="760">
        <f t="shared" ref="GGU53:GJF53" si="113">+GGT53*$C$53</f>
        <v>1.1500210525576402E+67</v>
      </c>
      <c r="GGV53" s="760">
        <f t="shared" si="113"/>
        <v>1.1845216841343694E+67</v>
      </c>
      <c r="GGW53" s="760">
        <f t="shared" si="113"/>
        <v>1.2200573346584005E+67</v>
      </c>
      <c r="GGX53" s="760">
        <f t="shared" si="113"/>
        <v>1.2566590546981526E+67</v>
      </c>
      <c r="GGY53" s="760">
        <f t="shared" si="113"/>
        <v>1.2943588263390971E+67</v>
      </c>
      <c r="GGZ53" s="760">
        <f t="shared" si="113"/>
        <v>1.3331895911292701E+67</v>
      </c>
      <c r="GHA53" s="760">
        <f t="shared" si="113"/>
        <v>1.3731852788631481E+67</v>
      </c>
      <c r="GHB53" s="760">
        <f t="shared" si="113"/>
        <v>1.4143808372290427E+67</v>
      </c>
      <c r="GHC53" s="760">
        <f t="shared" si="113"/>
        <v>1.4568122623459141E+67</v>
      </c>
      <c r="GHD53" s="760">
        <f t="shared" si="113"/>
        <v>1.5005166302162915E+67</v>
      </c>
      <c r="GHE53" s="760">
        <f t="shared" si="113"/>
        <v>1.5455321291227802E+67</v>
      </c>
      <c r="GHF53" s="760">
        <f t="shared" si="113"/>
        <v>1.5918980929964635E+67</v>
      </c>
      <c r="GHG53" s="760">
        <f t="shared" si="113"/>
        <v>1.6396550357863576E+67</v>
      </c>
      <c r="GHH53" s="760">
        <f t="shared" si="113"/>
        <v>1.6888446868599485E+67</v>
      </c>
      <c r="GHI53" s="760">
        <f t="shared" si="113"/>
        <v>1.7395100274657469E+67</v>
      </c>
      <c r="GHJ53" s="760">
        <f t="shared" si="113"/>
        <v>1.7916953282897193E+67</v>
      </c>
      <c r="GHK53" s="760">
        <f t="shared" si="113"/>
        <v>1.8454461881384108E+67</v>
      </c>
      <c r="GHL53" s="760">
        <f t="shared" si="113"/>
        <v>1.9008095737825632E+67</v>
      </c>
      <c r="GHM53" s="760">
        <f t="shared" si="113"/>
        <v>1.9578338609960403E+67</v>
      </c>
      <c r="GHN53" s="760">
        <f t="shared" si="113"/>
        <v>2.0165688768259214E+67</v>
      </c>
      <c r="GHO53" s="760">
        <f t="shared" si="113"/>
        <v>2.0770659431306991E+67</v>
      </c>
      <c r="GHP53" s="760">
        <f t="shared" si="113"/>
        <v>2.1393779214246202E+67</v>
      </c>
      <c r="GHQ53" s="760">
        <f t="shared" si="113"/>
        <v>2.203559259067359E+67</v>
      </c>
      <c r="GHR53" s="760">
        <f t="shared" si="113"/>
        <v>2.26966603683938E+67</v>
      </c>
      <c r="GHS53" s="760">
        <f t="shared" si="113"/>
        <v>2.3377560179445615E+67</v>
      </c>
      <c r="GHT53" s="760">
        <f t="shared" si="113"/>
        <v>2.4078886984828985E+67</v>
      </c>
      <c r="GHU53" s="760">
        <f t="shared" si="113"/>
        <v>2.4801253594373856E+67</v>
      </c>
      <c r="GHV53" s="760">
        <f t="shared" si="113"/>
        <v>2.5545291202205071E+67</v>
      </c>
      <c r="GHW53" s="760">
        <f t="shared" si="113"/>
        <v>2.6311649938271223E+67</v>
      </c>
      <c r="GHX53" s="760">
        <f t="shared" si="113"/>
        <v>2.7100999436419358E+67</v>
      </c>
      <c r="GHY53" s="760">
        <f t="shared" si="113"/>
        <v>2.7914029419511939E+67</v>
      </c>
      <c r="GHZ53" s="760">
        <f t="shared" si="113"/>
        <v>2.8751450302097295E+67</v>
      </c>
      <c r="GIA53" s="760">
        <f t="shared" si="113"/>
        <v>2.9613993811160216E+67</v>
      </c>
      <c r="GIB53" s="760">
        <f t="shared" si="113"/>
        <v>3.0502413625495025E+67</v>
      </c>
      <c r="GIC53" s="760">
        <f t="shared" si="113"/>
        <v>3.1417486034259878E+67</v>
      </c>
      <c r="GID53" s="760">
        <f t="shared" si="113"/>
        <v>3.2360010615287678E+67</v>
      </c>
      <c r="GIE53" s="760">
        <f t="shared" si="113"/>
        <v>3.333081093374631E+67</v>
      </c>
      <c r="GIF53" s="760">
        <f t="shared" si="113"/>
        <v>3.4330735261758702E+67</v>
      </c>
      <c r="GIG53" s="760">
        <f t="shared" si="113"/>
        <v>3.5360657319611466E+67</v>
      </c>
      <c r="GIH53" s="760">
        <f t="shared" si="113"/>
        <v>3.6421477039199813E+67</v>
      </c>
      <c r="GII53" s="760">
        <f t="shared" si="113"/>
        <v>3.7514121350375807E+67</v>
      </c>
      <c r="GIJ53" s="760">
        <f t="shared" si="113"/>
        <v>3.863954499088708E+67</v>
      </c>
      <c r="GIK53" s="760">
        <f t="shared" si="113"/>
        <v>3.9798731340613695E+67</v>
      </c>
      <c r="GIL53" s="760">
        <f t="shared" si="113"/>
        <v>4.0992693280832106E+67</v>
      </c>
      <c r="GIM53" s="760">
        <f t="shared" si="113"/>
        <v>4.222247407925707E+67</v>
      </c>
      <c r="GIN53" s="760">
        <f t="shared" si="113"/>
        <v>4.3489148301634782E+67</v>
      </c>
      <c r="GIO53" s="760">
        <f t="shared" si="113"/>
        <v>4.4793822750683827E+67</v>
      </c>
      <c r="GIP53" s="760">
        <f t="shared" si="113"/>
        <v>4.613763743320434E+67</v>
      </c>
      <c r="GIQ53" s="760">
        <f t="shared" si="113"/>
        <v>4.7521766556200475E+67</v>
      </c>
      <c r="GIR53" s="760">
        <f t="shared" si="113"/>
        <v>4.894741955288649E+67</v>
      </c>
      <c r="GIS53" s="760">
        <f t="shared" si="113"/>
        <v>5.0415842139473088E+67</v>
      </c>
      <c r="GIT53" s="760">
        <f t="shared" si="113"/>
        <v>5.192831740365728E+67</v>
      </c>
      <c r="GIU53" s="760">
        <f t="shared" si="113"/>
        <v>5.3486166925766999E+67</v>
      </c>
      <c r="GIV53" s="760">
        <f t="shared" si="113"/>
        <v>5.5090751933540006E+67</v>
      </c>
      <c r="GIW53" s="760">
        <f t="shared" si="113"/>
        <v>5.6743474491546211E+67</v>
      </c>
      <c r="GIX53" s="760">
        <f t="shared" si="113"/>
        <v>5.8445778726292603E+67</v>
      </c>
      <c r="GIY53" s="760">
        <f t="shared" si="113"/>
        <v>6.0199152088081383E+67</v>
      </c>
      <c r="GIZ53" s="760">
        <f t="shared" si="113"/>
        <v>6.2005126650723827E+67</v>
      </c>
      <c r="GJA53" s="760">
        <f t="shared" si="113"/>
        <v>6.3865280450245548E+67</v>
      </c>
      <c r="GJB53" s="760">
        <f t="shared" si="113"/>
        <v>6.5781238863752915E+67</v>
      </c>
      <c r="GJC53" s="760">
        <f t="shared" si="113"/>
        <v>6.7754676029665502E+67</v>
      </c>
      <c r="GJD53" s="760">
        <f t="shared" si="113"/>
        <v>6.9787316310555469E+67</v>
      </c>
      <c r="GJE53" s="760">
        <f t="shared" si="113"/>
        <v>7.188093579987213E+67</v>
      </c>
      <c r="GJF53" s="760">
        <f t="shared" si="113"/>
        <v>7.4037363873868292E+67</v>
      </c>
      <c r="GJG53" s="760">
        <f t="shared" ref="GJG53:GLR53" si="114">+GJF53*$C$53</f>
        <v>7.6258484790084348E+67</v>
      </c>
      <c r="GJH53" s="760">
        <f t="shared" si="114"/>
        <v>7.8546239333786886E+67</v>
      </c>
      <c r="GJI53" s="760">
        <f t="shared" si="114"/>
        <v>8.0902626513800498E+67</v>
      </c>
      <c r="GJJ53" s="760">
        <f t="shared" si="114"/>
        <v>8.332970530921451E+67</v>
      </c>
      <c r="GJK53" s="760">
        <f t="shared" si="114"/>
        <v>8.582959646849095E+67</v>
      </c>
      <c r="GJL53" s="760">
        <f t="shared" si="114"/>
        <v>8.8404484362545677E+67</v>
      </c>
      <c r="GJM53" s="760">
        <f t="shared" si="114"/>
        <v>9.1056618893422052E+67</v>
      </c>
      <c r="GJN53" s="760">
        <f t="shared" si="114"/>
        <v>9.3788317460224714E+67</v>
      </c>
      <c r="GJO53" s="760">
        <f t="shared" si="114"/>
        <v>9.6601966984031455E+67</v>
      </c>
      <c r="GJP53" s="760">
        <f t="shared" si="114"/>
        <v>9.9500025993552399E+67</v>
      </c>
      <c r="GJQ53" s="760">
        <f t="shared" si="114"/>
        <v>1.0248502677335898E+68</v>
      </c>
      <c r="GJR53" s="760">
        <f t="shared" si="114"/>
        <v>1.0555957757655975E+68</v>
      </c>
      <c r="GJS53" s="760">
        <f t="shared" si="114"/>
        <v>1.0872636490385655E+68</v>
      </c>
      <c r="GJT53" s="760">
        <f t="shared" si="114"/>
        <v>1.1198815585097226E+68</v>
      </c>
      <c r="GJU53" s="760">
        <f t="shared" si="114"/>
        <v>1.1534780052650143E+68</v>
      </c>
      <c r="GJV53" s="760">
        <f t="shared" si="114"/>
        <v>1.1880823454229649E+68</v>
      </c>
      <c r="GJW53" s="760">
        <f t="shared" si="114"/>
        <v>1.2237248157856539E+68</v>
      </c>
      <c r="GJX53" s="760">
        <f t="shared" si="114"/>
        <v>1.2604365602592236E+68</v>
      </c>
      <c r="GJY53" s="760">
        <f t="shared" si="114"/>
        <v>1.2982496570670004E+68</v>
      </c>
      <c r="GJZ53" s="760">
        <f t="shared" si="114"/>
        <v>1.3371971467790105E+68</v>
      </c>
      <c r="GKA53" s="760">
        <f t="shared" si="114"/>
        <v>1.377313061182381E+68</v>
      </c>
      <c r="GKB53" s="760">
        <f t="shared" si="114"/>
        <v>1.4186324530178525E+68</v>
      </c>
      <c r="GKC53" s="760">
        <f t="shared" si="114"/>
        <v>1.4611914266083881E+68</v>
      </c>
      <c r="GKD53" s="760">
        <f t="shared" si="114"/>
        <v>1.5050271694066398E+68</v>
      </c>
      <c r="GKE53" s="760">
        <f t="shared" si="114"/>
        <v>1.550177984488839E+68</v>
      </c>
      <c r="GKF53" s="760">
        <f t="shared" si="114"/>
        <v>1.5966833240235042E+68</v>
      </c>
      <c r="GKG53" s="760">
        <f t="shared" si="114"/>
        <v>1.6445838237442094E+68</v>
      </c>
      <c r="GKH53" s="760">
        <f t="shared" si="114"/>
        <v>1.6939213384565357E+68</v>
      </c>
      <c r="GKI53" s="760">
        <f t="shared" si="114"/>
        <v>1.7447389786102319E+68</v>
      </c>
      <c r="GKJ53" s="760">
        <f t="shared" si="114"/>
        <v>1.797081147968539E+68</v>
      </c>
      <c r="GKK53" s="760">
        <f t="shared" si="114"/>
        <v>1.8509935824075953E+68</v>
      </c>
      <c r="GKL53" s="760">
        <f t="shared" si="114"/>
        <v>1.9065233898798232E+68</v>
      </c>
      <c r="GKM53" s="760">
        <f t="shared" si="114"/>
        <v>1.9637190915762179E+68</v>
      </c>
      <c r="GKN53" s="760">
        <f t="shared" si="114"/>
        <v>2.0226306643235045E+68</v>
      </c>
      <c r="GKO53" s="760">
        <f t="shared" si="114"/>
        <v>2.0833095842532096E+68</v>
      </c>
      <c r="GKP53" s="760">
        <f t="shared" si="114"/>
        <v>2.1458088717808059E+68</v>
      </c>
      <c r="GKQ53" s="760">
        <f t="shared" si="114"/>
        <v>2.2101831379342302E+68</v>
      </c>
      <c r="GKR53" s="760">
        <f t="shared" si="114"/>
        <v>2.2764886320722573E+68</v>
      </c>
      <c r="GKS53" s="760">
        <f t="shared" si="114"/>
        <v>2.3447832910344251E+68</v>
      </c>
      <c r="GKT53" s="760">
        <f t="shared" si="114"/>
        <v>2.4151267897654578E+68</v>
      </c>
      <c r="GKU53" s="760">
        <f t="shared" si="114"/>
        <v>2.4875805934584216E+68</v>
      </c>
      <c r="GKV53" s="760">
        <f t="shared" si="114"/>
        <v>2.562208011262174E+68</v>
      </c>
      <c r="GKW53" s="760">
        <f t="shared" si="114"/>
        <v>2.6390742516000395E+68</v>
      </c>
      <c r="GKX53" s="760">
        <f t="shared" si="114"/>
        <v>2.7182464791480408E+68</v>
      </c>
      <c r="GKY53" s="760">
        <f t="shared" si="114"/>
        <v>2.7997938735224819E+68</v>
      </c>
      <c r="GKZ53" s="760">
        <f t="shared" si="114"/>
        <v>2.8837876897281563E+68</v>
      </c>
      <c r="GLA53" s="760">
        <f t="shared" si="114"/>
        <v>2.9703013204200011E+68</v>
      </c>
      <c r="GLB53" s="760">
        <f t="shared" si="114"/>
        <v>3.0594103600326011E+68</v>
      </c>
      <c r="GLC53" s="760">
        <f t="shared" si="114"/>
        <v>3.1511926708335794E+68</v>
      </c>
      <c r="GLD53" s="760">
        <f t="shared" si="114"/>
        <v>3.2457284509585869E+68</v>
      </c>
      <c r="GLE53" s="760">
        <f t="shared" si="114"/>
        <v>3.3431003044873445E+68</v>
      </c>
      <c r="GLF53" s="760">
        <f t="shared" si="114"/>
        <v>3.443393313621965E+68</v>
      </c>
      <c r="GLG53" s="760">
        <f t="shared" si="114"/>
        <v>3.546695113030624E+68</v>
      </c>
      <c r="GLH53" s="760">
        <f t="shared" si="114"/>
        <v>3.6530959664215428E+68</v>
      </c>
      <c r="GLI53" s="760">
        <f t="shared" si="114"/>
        <v>3.7626888454141893E+68</v>
      </c>
      <c r="GLJ53" s="760">
        <f t="shared" si="114"/>
        <v>3.8755695107766152E+68</v>
      </c>
      <c r="GLK53" s="760">
        <f t="shared" si="114"/>
        <v>3.9918365960999136E+68</v>
      </c>
      <c r="GLL53" s="760">
        <f t="shared" si="114"/>
        <v>4.1115916939829112E+68</v>
      </c>
      <c r="GLM53" s="760">
        <f t="shared" si="114"/>
        <v>4.2349394448023984E+68</v>
      </c>
      <c r="GLN53" s="760">
        <f t="shared" si="114"/>
        <v>4.3619876281464704E+68</v>
      </c>
      <c r="GLO53" s="760">
        <f t="shared" si="114"/>
        <v>4.492847256990865E+68</v>
      </c>
      <c r="GLP53" s="760">
        <f t="shared" si="114"/>
        <v>4.6276326747005913E+68</v>
      </c>
      <c r="GLQ53" s="760">
        <f t="shared" si="114"/>
        <v>4.7664616549416094E+68</v>
      </c>
      <c r="GLR53" s="760">
        <f t="shared" si="114"/>
        <v>4.9094555045898578E+68</v>
      </c>
      <c r="GLS53" s="760">
        <f t="shared" ref="GLS53:GOD53" si="115">+GLR53*$C$53</f>
        <v>5.0567391697275538E+68</v>
      </c>
      <c r="GLT53" s="760">
        <f t="shared" si="115"/>
        <v>5.2084413448193809E+68</v>
      </c>
      <c r="GLU53" s="760">
        <f t="shared" si="115"/>
        <v>5.3646945851639622E+68</v>
      </c>
      <c r="GLV53" s="760">
        <f t="shared" si="115"/>
        <v>5.5256354227188812E+68</v>
      </c>
      <c r="GLW53" s="760">
        <f t="shared" si="115"/>
        <v>5.6914044854004481E+68</v>
      </c>
      <c r="GLX53" s="760">
        <f t="shared" si="115"/>
        <v>5.8621466199624617E+68</v>
      </c>
      <c r="GLY53" s="760">
        <f t="shared" si="115"/>
        <v>6.0380110185613358E+68</v>
      </c>
      <c r="GLZ53" s="760">
        <f t="shared" si="115"/>
        <v>6.2191513491181763E+68</v>
      </c>
      <c r="GMA53" s="760">
        <f t="shared" si="115"/>
        <v>6.4057258895917221E+68</v>
      </c>
      <c r="GMB53" s="760">
        <f t="shared" si="115"/>
        <v>6.5978976662794737E+68</v>
      </c>
      <c r="GMC53" s="760">
        <f t="shared" si="115"/>
        <v>6.7958345962678585E+68</v>
      </c>
      <c r="GMD53" s="760">
        <f t="shared" si="115"/>
        <v>6.9997096341558944E+68</v>
      </c>
      <c r="GME53" s="760">
        <f t="shared" si="115"/>
        <v>7.2097009231805713E+68</v>
      </c>
      <c r="GMF53" s="760">
        <f t="shared" si="115"/>
        <v>7.4259919508759887E+68</v>
      </c>
      <c r="GMG53" s="760">
        <f t="shared" si="115"/>
        <v>7.6487717094022689E+68</v>
      </c>
      <c r="GMH53" s="760">
        <f t="shared" si="115"/>
        <v>7.878234860684337E+68</v>
      </c>
      <c r="GMI53" s="760">
        <f t="shared" si="115"/>
        <v>8.114581906504867E+68</v>
      </c>
      <c r="GMJ53" s="760">
        <f t="shared" si="115"/>
        <v>8.3580193637000132E+68</v>
      </c>
      <c r="GMK53" s="760">
        <f t="shared" si="115"/>
        <v>8.6087599446110142E+68</v>
      </c>
      <c r="GML53" s="760">
        <f t="shared" si="115"/>
        <v>8.8670227429493441E+68</v>
      </c>
      <c r="GMM53" s="760">
        <f t="shared" si="115"/>
        <v>9.1330334252378253E+68</v>
      </c>
      <c r="GMN53" s="760">
        <f t="shared" si="115"/>
        <v>9.4070244279949597E+68</v>
      </c>
      <c r="GMO53" s="760">
        <f t="shared" si="115"/>
        <v>9.689235160834808E+68</v>
      </c>
      <c r="GMP53" s="760">
        <f t="shared" si="115"/>
        <v>9.9799122156598521E+68</v>
      </c>
      <c r="GMQ53" s="760">
        <f t="shared" si="115"/>
        <v>1.0279309582129648E+69</v>
      </c>
      <c r="GMR53" s="760">
        <f t="shared" si="115"/>
        <v>1.0587688869593538E+69</v>
      </c>
      <c r="GMS53" s="760">
        <f t="shared" si="115"/>
        <v>1.0905319535681345E+69</v>
      </c>
      <c r="GMT53" s="760">
        <f t="shared" si="115"/>
        <v>1.1232479121751786E+69</v>
      </c>
      <c r="GMU53" s="760">
        <f t="shared" si="115"/>
        <v>1.156945349540434E+69</v>
      </c>
      <c r="GMV53" s="760">
        <f t="shared" si="115"/>
        <v>1.1916537100266471E+69</v>
      </c>
      <c r="GMW53" s="760">
        <f t="shared" si="115"/>
        <v>1.2274033213274466E+69</v>
      </c>
      <c r="GMX53" s="760">
        <f t="shared" si="115"/>
        <v>1.26422542096727E+69</v>
      </c>
      <c r="GMY53" s="760">
        <f t="shared" si="115"/>
        <v>1.3021521835962881E+69</v>
      </c>
      <c r="GMZ53" s="760">
        <f t="shared" si="115"/>
        <v>1.3412167491041768E+69</v>
      </c>
      <c r="GNA53" s="760">
        <f t="shared" si="115"/>
        <v>1.3814532515773022E+69</v>
      </c>
      <c r="GNB53" s="760">
        <f t="shared" si="115"/>
        <v>1.4228968491246213E+69</v>
      </c>
      <c r="GNC53" s="760">
        <f t="shared" si="115"/>
        <v>1.4655837545983599E+69</v>
      </c>
      <c r="GND53" s="760">
        <f t="shared" si="115"/>
        <v>1.5095512672363108E+69</v>
      </c>
      <c r="GNE53" s="760">
        <f t="shared" si="115"/>
        <v>1.5548378052534003E+69</v>
      </c>
      <c r="GNF53" s="760">
        <f t="shared" si="115"/>
        <v>1.6014829394110023E+69</v>
      </c>
      <c r="GNG53" s="760">
        <f t="shared" si="115"/>
        <v>1.6495274275933325E+69</v>
      </c>
      <c r="GNH53" s="760">
        <f t="shared" si="115"/>
        <v>1.6990132504211324E+69</v>
      </c>
      <c r="GNI53" s="760">
        <f t="shared" si="115"/>
        <v>1.7499836479337664E+69</v>
      </c>
      <c r="GNJ53" s="760">
        <f t="shared" si="115"/>
        <v>1.8024831573717794E+69</v>
      </c>
      <c r="GNK53" s="760">
        <f t="shared" si="115"/>
        <v>1.8565576520929329E+69</v>
      </c>
      <c r="GNL53" s="760">
        <f t="shared" si="115"/>
        <v>1.9122543816557211E+69</v>
      </c>
      <c r="GNM53" s="760">
        <f t="shared" si="115"/>
        <v>1.9696220131053927E+69</v>
      </c>
      <c r="GNN53" s="760">
        <f t="shared" si="115"/>
        <v>2.0287106734985547E+69</v>
      </c>
      <c r="GNO53" s="760">
        <f t="shared" si="115"/>
        <v>2.0895719937035114E+69</v>
      </c>
      <c r="GNP53" s="760">
        <f t="shared" si="115"/>
        <v>2.1522591535146166E+69</v>
      </c>
      <c r="GNQ53" s="760">
        <f t="shared" si="115"/>
        <v>2.2168269281200552E+69</v>
      </c>
      <c r="GNR53" s="760">
        <f t="shared" si="115"/>
        <v>2.2833317359636569E+69</v>
      </c>
      <c r="GNS53" s="760">
        <f t="shared" si="115"/>
        <v>2.3518316880425667E+69</v>
      </c>
      <c r="GNT53" s="760">
        <f t="shared" si="115"/>
        <v>2.4223866386838437E+69</v>
      </c>
      <c r="GNU53" s="760">
        <f t="shared" si="115"/>
        <v>2.4950582378443592E+69</v>
      </c>
      <c r="GNV53" s="760">
        <f t="shared" si="115"/>
        <v>2.56990998497969E+69</v>
      </c>
      <c r="GNW53" s="760">
        <f t="shared" si="115"/>
        <v>2.6470072845290808E+69</v>
      </c>
      <c r="GNX53" s="760">
        <f t="shared" si="115"/>
        <v>2.7264175030649532E+69</v>
      </c>
      <c r="GNY53" s="760">
        <f t="shared" si="115"/>
        <v>2.808210028156902E+69</v>
      </c>
      <c r="GNZ53" s="760">
        <f t="shared" si="115"/>
        <v>2.8924563290016091E+69</v>
      </c>
      <c r="GOA53" s="760">
        <f t="shared" si="115"/>
        <v>2.9792300188716575E+69</v>
      </c>
      <c r="GOB53" s="760">
        <f t="shared" si="115"/>
        <v>3.0686069194378073E+69</v>
      </c>
      <c r="GOC53" s="760">
        <f t="shared" si="115"/>
        <v>3.1606651270209417E+69</v>
      </c>
      <c r="GOD53" s="760">
        <f t="shared" si="115"/>
        <v>3.2554850808315702E+69</v>
      </c>
      <c r="GOE53" s="760">
        <f t="shared" ref="GOE53:GQP53" si="116">+GOD53*$C$53</f>
        <v>3.3531496332565175E+69</v>
      </c>
      <c r="GOF53" s="760">
        <f t="shared" si="116"/>
        <v>3.4537441222542132E+69</v>
      </c>
      <c r="GOG53" s="760">
        <f t="shared" si="116"/>
        <v>3.5573564459218394E+69</v>
      </c>
      <c r="GOH53" s="760">
        <f t="shared" si="116"/>
        <v>3.6640771392994947E+69</v>
      </c>
      <c r="GOI53" s="760">
        <f t="shared" si="116"/>
        <v>3.77399945347848E+69</v>
      </c>
      <c r="GOJ53" s="760">
        <f t="shared" si="116"/>
        <v>3.8872194370828346E+69</v>
      </c>
      <c r="GOK53" s="760">
        <f t="shared" si="116"/>
        <v>4.0038360201953197E+69</v>
      </c>
      <c r="GOL53" s="760">
        <f t="shared" si="116"/>
        <v>4.1239511008011795E+69</v>
      </c>
      <c r="GOM53" s="760">
        <f t="shared" si="116"/>
        <v>4.2476696338252147E+69</v>
      </c>
      <c r="GON53" s="760">
        <f t="shared" si="116"/>
        <v>4.3750997228399711E+69</v>
      </c>
      <c r="GOO53" s="760">
        <f t="shared" si="116"/>
        <v>4.5063527145251706E+69</v>
      </c>
      <c r="GOP53" s="760">
        <f t="shared" si="116"/>
        <v>4.6415432959609255E+69</v>
      </c>
      <c r="GOQ53" s="760">
        <f t="shared" si="116"/>
        <v>4.7807895948397536E+69</v>
      </c>
      <c r="GOR53" s="760">
        <f t="shared" si="116"/>
        <v>4.9242132826849461E+69</v>
      </c>
      <c r="GOS53" s="760">
        <f t="shared" si="116"/>
        <v>5.0719396811654948E+69</v>
      </c>
      <c r="GOT53" s="760">
        <f t="shared" si="116"/>
        <v>5.2240978716004594E+69</v>
      </c>
      <c r="GOU53" s="760">
        <f t="shared" si="116"/>
        <v>5.3808208077484737E+69</v>
      </c>
      <c r="GOV53" s="760">
        <f t="shared" si="116"/>
        <v>5.5422454319809277E+69</v>
      </c>
      <c r="GOW53" s="760">
        <f t="shared" si="116"/>
        <v>5.708512794940356E+69</v>
      </c>
      <c r="GOX53" s="760">
        <f t="shared" si="116"/>
        <v>5.8797681787885664E+69</v>
      </c>
      <c r="GOY53" s="760">
        <f t="shared" si="116"/>
        <v>6.0561612241522238E+69</v>
      </c>
      <c r="GOZ53" s="760">
        <f t="shared" si="116"/>
        <v>6.2378460608767909E+69</v>
      </c>
      <c r="GPA53" s="760">
        <f t="shared" si="116"/>
        <v>6.4249814427030947E+69</v>
      </c>
      <c r="GPB53" s="760">
        <f t="shared" si="116"/>
        <v>6.6177308859841878E+69</v>
      </c>
      <c r="GPC53" s="760">
        <f t="shared" si="116"/>
        <v>6.8162628125637136E+69</v>
      </c>
      <c r="GPD53" s="760">
        <f t="shared" si="116"/>
        <v>7.0207506969406257E+69</v>
      </c>
      <c r="GPE53" s="760">
        <f t="shared" si="116"/>
        <v>7.2313732178488441E+69</v>
      </c>
      <c r="GPF53" s="760">
        <f t="shared" si="116"/>
        <v>7.4483144143843097E+69</v>
      </c>
      <c r="GPG53" s="760">
        <f t="shared" si="116"/>
        <v>7.6717638468158386E+69</v>
      </c>
      <c r="GPH53" s="760">
        <f t="shared" si="116"/>
        <v>7.9019167622203141E+69</v>
      </c>
      <c r="GPI53" s="760">
        <f t="shared" si="116"/>
        <v>8.1389742650869236E+69</v>
      </c>
      <c r="GPJ53" s="760">
        <f t="shared" si="116"/>
        <v>8.3831434930395311E+69</v>
      </c>
      <c r="GPK53" s="760">
        <f t="shared" si="116"/>
        <v>8.6346377978307173E+69</v>
      </c>
      <c r="GPL53" s="760">
        <f t="shared" si="116"/>
        <v>8.8936769317656386E+69</v>
      </c>
      <c r="GPM53" s="760">
        <f t="shared" si="116"/>
        <v>9.1604872397186074E+69</v>
      </c>
      <c r="GPN53" s="760">
        <f t="shared" si="116"/>
        <v>9.4353018569101658E+69</v>
      </c>
      <c r="GPO53" s="760">
        <f t="shared" si="116"/>
        <v>9.7183609126174707E+69</v>
      </c>
      <c r="GPP53" s="760">
        <f t="shared" si="116"/>
        <v>1.0009911739995995E+70</v>
      </c>
      <c r="GPQ53" s="760">
        <f t="shared" si="116"/>
        <v>1.0310209092195874E+70</v>
      </c>
      <c r="GPR53" s="760">
        <f t="shared" si="116"/>
        <v>1.061951536496175E+70</v>
      </c>
      <c r="GPS53" s="760">
        <f t="shared" si="116"/>
        <v>1.0938100825910603E+70</v>
      </c>
      <c r="GPT53" s="760">
        <f t="shared" si="116"/>
        <v>1.1266243850687922E+70</v>
      </c>
      <c r="GPU53" s="760">
        <f t="shared" si="116"/>
        <v>1.1604231166208561E+70</v>
      </c>
      <c r="GPV53" s="760">
        <f t="shared" si="116"/>
        <v>1.1952358101194819E+70</v>
      </c>
      <c r="GPW53" s="760">
        <f t="shared" si="116"/>
        <v>1.2310928844230663E+70</v>
      </c>
      <c r="GPX53" s="760">
        <f t="shared" si="116"/>
        <v>1.2680256709557584E+70</v>
      </c>
      <c r="GPY53" s="760">
        <f t="shared" si="116"/>
        <v>1.3060664410844311E+70</v>
      </c>
      <c r="GPZ53" s="760">
        <f t="shared" si="116"/>
        <v>1.345248434316964E+70</v>
      </c>
      <c r="GQA53" s="760">
        <f t="shared" si="116"/>
        <v>1.3856058873464729E+70</v>
      </c>
      <c r="GQB53" s="760">
        <f t="shared" si="116"/>
        <v>1.4271740639668671E+70</v>
      </c>
      <c r="GQC53" s="760">
        <f t="shared" si="116"/>
        <v>1.4699892858858731E+70</v>
      </c>
      <c r="GQD53" s="760">
        <f t="shared" si="116"/>
        <v>1.5140889644624494E+70</v>
      </c>
      <c r="GQE53" s="760">
        <f t="shared" si="116"/>
        <v>1.5595116333963228E+70</v>
      </c>
      <c r="GQF53" s="760">
        <f t="shared" si="116"/>
        <v>1.6062969823982126E+70</v>
      </c>
      <c r="GQG53" s="760">
        <f t="shared" si="116"/>
        <v>1.654485891870159E+70</v>
      </c>
      <c r="GQH53" s="760">
        <f t="shared" si="116"/>
        <v>1.7041204686262637E+70</v>
      </c>
      <c r="GQI53" s="760">
        <f t="shared" si="116"/>
        <v>1.7552440826850518E+70</v>
      </c>
      <c r="GQJ53" s="760">
        <f t="shared" si="116"/>
        <v>1.8079014051656033E+70</v>
      </c>
      <c r="GQK53" s="760">
        <f t="shared" si="116"/>
        <v>1.8621384473205715E+70</v>
      </c>
      <c r="GQL53" s="760">
        <f t="shared" si="116"/>
        <v>1.9180026007401888E+70</v>
      </c>
      <c r="GQM53" s="760">
        <f t="shared" si="116"/>
        <v>1.9755426787623944E+70</v>
      </c>
      <c r="GQN53" s="760">
        <f t="shared" si="116"/>
        <v>2.0348089591252664E+70</v>
      </c>
      <c r="GQO53" s="760">
        <f t="shared" si="116"/>
        <v>2.0958532278990244E+70</v>
      </c>
      <c r="GQP53" s="760">
        <f t="shared" si="116"/>
        <v>2.1587288247359953E+70</v>
      </c>
      <c r="GQQ53" s="760">
        <f t="shared" ref="GQQ53:GTB53" si="117">+GQP53*$C$53</f>
        <v>2.2234906894780752E+70</v>
      </c>
      <c r="GQR53" s="760">
        <f t="shared" si="117"/>
        <v>2.2901954101624174E+70</v>
      </c>
      <c r="GQS53" s="760">
        <f t="shared" si="117"/>
        <v>2.35890127246729E+70</v>
      </c>
      <c r="GQT53" s="760">
        <f t="shared" si="117"/>
        <v>2.4296683106413086E+70</v>
      </c>
      <c r="GQU53" s="760">
        <f t="shared" si="117"/>
        <v>2.502558359960548E+70</v>
      </c>
      <c r="GQV53" s="760">
        <f t="shared" si="117"/>
        <v>2.5776351107593647E+70</v>
      </c>
      <c r="GQW53" s="760">
        <f t="shared" si="117"/>
        <v>2.6549641640821458E+70</v>
      </c>
      <c r="GQX53" s="760">
        <f t="shared" si="117"/>
        <v>2.7346130890046102E+70</v>
      </c>
      <c r="GQY53" s="760">
        <f t="shared" si="117"/>
        <v>2.8166514816747484E+70</v>
      </c>
      <c r="GQZ53" s="760">
        <f t="shared" si="117"/>
        <v>2.901151026124991E+70</v>
      </c>
      <c r="GRA53" s="760">
        <f t="shared" si="117"/>
        <v>2.9881855569087406E+70</v>
      </c>
      <c r="GRB53" s="760">
        <f t="shared" si="117"/>
        <v>3.0778311236160031E+70</v>
      </c>
      <c r="GRC53" s="760">
        <f t="shared" si="117"/>
        <v>3.1701660573244831E+70</v>
      </c>
      <c r="GRD53" s="760">
        <f t="shared" si="117"/>
        <v>3.2652710390442179E+70</v>
      </c>
      <c r="GRE53" s="760">
        <f t="shared" si="117"/>
        <v>3.3632291702155447E+70</v>
      </c>
      <c r="GRF53" s="760">
        <f t="shared" si="117"/>
        <v>3.4641260453220114E+70</v>
      </c>
      <c r="GRG53" s="760">
        <f t="shared" si="117"/>
        <v>3.5680498266816721E+70</v>
      </c>
      <c r="GRH53" s="760">
        <f t="shared" si="117"/>
        <v>3.6750913214821225E+70</v>
      </c>
      <c r="GRI53" s="760">
        <f t="shared" si="117"/>
        <v>3.7853440611265861E+70</v>
      </c>
      <c r="GRJ53" s="760">
        <f t="shared" si="117"/>
        <v>3.898904382960384E+70</v>
      </c>
      <c r="GRK53" s="760">
        <f t="shared" si="117"/>
        <v>4.0158715144491954E+70</v>
      </c>
      <c r="GRL53" s="760">
        <f t="shared" si="117"/>
        <v>4.1363476598826713E+70</v>
      </c>
      <c r="GRM53" s="760">
        <f t="shared" si="117"/>
        <v>4.2604380896791512E+70</v>
      </c>
      <c r="GRN53" s="760">
        <f t="shared" si="117"/>
        <v>4.3882512323695261E+70</v>
      </c>
      <c r="GRO53" s="760">
        <f t="shared" si="117"/>
        <v>4.519898769340612E+70</v>
      </c>
      <c r="GRP53" s="760">
        <f t="shared" si="117"/>
        <v>4.6554957324208304E+70</v>
      </c>
      <c r="GRQ53" s="760">
        <f t="shared" si="117"/>
        <v>4.7951606043934554E+70</v>
      </c>
      <c r="GRR53" s="760">
        <f t="shared" si="117"/>
        <v>4.9390154225252595E+70</v>
      </c>
      <c r="GRS53" s="760">
        <f t="shared" si="117"/>
        <v>5.0871858852010174E+70</v>
      </c>
      <c r="GRT53" s="760">
        <f t="shared" si="117"/>
        <v>5.2398014617570478E+70</v>
      </c>
      <c r="GRU53" s="760">
        <f t="shared" si="117"/>
        <v>5.3969955056097596E+70</v>
      </c>
      <c r="GRV53" s="760">
        <f t="shared" si="117"/>
        <v>5.558905370778053E+70</v>
      </c>
      <c r="GRW53" s="760">
        <f t="shared" si="117"/>
        <v>5.7256725319013942E+70</v>
      </c>
      <c r="GRX53" s="760">
        <f t="shared" si="117"/>
        <v>5.8974427078584358E+70</v>
      </c>
      <c r="GRY53" s="760">
        <f t="shared" si="117"/>
        <v>6.0743659890941896E+70</v>
      </c>
      <c r="GRZ53" s="760">
        <f t="shared" si="117"/>
        <v>6.2565969687670156E+70</v>
      </c>
      <c r="GSA53" s="760">
        <f t="shared" si="117"/>
        <v>6.4442948778300269E+70</v>
      </c>
      <c r="GSB53" s="760">
        <f t="shared" si="117"/>
        <v>6.6376237241649276E+70</v>
      </c>
      <c r="GSC53" s="760">
        <f t="shared" si="117"/>
        <v>6.8367524358898754E+70</v>
      </c>
      <c r="GSD53" s="760">
        <f t="shared" si="117"/>
        <v>7.0418550089665717E+70</v>
      </c>
      <c r="GSE53" s="760">
        <f t="shared" si="117"/>
        <v>7.2531106592355693E+70</v>
      </c>
      <c r="GSF53" s="760">
        <f t="shared" si="117"/>
        <v>7.4707039790126364E+70</v>
      </c>
      <c r="GSG53" s="760">
        <f t="shared" si="117"/>
        <v>7.6948250983830159E+70</v>
      </c>
      <c r="GSH53" s="760">
        <f t="shared" si="117"/>
        <v>7.9256698513345064E+70</v>
      </c>
      <c r="GSI53" s="760">
        <f t="shared" si="117"/>
        <v>8.1634399468745422E+70</v>
      </c>
      <c r="GSJ53" s="760">
        <f t="shared" si="117"/>
        <v>8.4083431452807787E+70</v>
      </c>
      <c r="GSK53" s="760">
        <f t="shared" si="117"/>
        <v>8.6605934396392028E+70</v>
      </c>
      <c r="GSL53" s="760">
        <f t="shared" si="117"/>
        <v>8.9204112428283795E+70</v>
      </c>
      <c r="GSM53" s="760">
        <f t="shared" si="117"/>
        <v>9.1880235801132308E+70</v>
      </c>
      <c r="GSN53" s="760">
        <f t="shared" si="117"/>
        <v>9.4636642875166283E+70</v>
      </c>
      <c r="GSO53" s="760">
        <f t="shared" si="117"/>
        <v>9.7475742161421275E+70</v>
      </c>
      <c r="GSP53" s="760">
        <f t="shared" si="117"/>
        <v>1.0040001442626391E+71</v>
      </c>
      <c r="GSQ53" s="760">
        <f t="shared" si="117"/>
        <v>1.0341201485905183E+71</v>
      </c>
      <c r="GSR53" s="760">
        <f t="shared" si="117"/>
        <v>1.0651437530482339E+71</v>
      </c>
      <c r="GSS53" s="760">
        <f t="shared" si="117"/>
        <v>1.097098065639681E+71</v>
      </c>
      <c r="GST53" s="760">
        <f t="shared" si="117"/>
        <v>1.1300110076088714E+71</v>
      </c>
      <c r="GSU53" s="760">
        <f t="shared" si="117"/>
        <v>1.1639113378371376E+71</v>
      </c>
      <c r="GSV53" s="760">
        <f t="shared" si="117"/>
        <v>1.1988286779722518E+71</v>
      </c>
      <c r="GSW53" s="760">
        <f t="shared" si="117"/>
        <v>1.2347935383114195E+71</v>
      </c>
      <c r="GSX53" s="760">
        <f t="shared" si="117"/>
        <v>1.271837344460762E+71</v>
      </c>
      <c r="GSY53" s="760">
        <f t="shared" si="117"/>
        <v>1.3099924647945848E+71</v>
      </c>
      <c r="GSZ53" s="760">
        <f t="shared" si="117"/>
        <v>1.3492922387384225E+71</v>
      </c>
      <c r="GTA53" s="760">
        <f t="shared" si="117"/>
        <v>1.3897710059005752E+71</v>
      </c>
      <c r="GTB53" s="760">
        <f t="shared" si="117"/>
        <v>1.4314641360775924E+71</v>
      </c>
      <c r="GTC53" s="760">
        <f t="shared" ref="GTC53:GVN53" si="118">+GTB53*$C$53</f>
        <v>1.4744080601599202E+71</v>
      </c>
      <c r="GTD53" s="760">
        <f t="shared" si="118"/>
        <v>1.5186403019647178E+71</v>
      </c>
      <c r="GTE53" s="760">
        <f t="shared" si="118"/>
        <v>1.5641995110236594E+71</v>
      </c>
      <c r="GTF53" s="760">
        <f t="shared" si="118"/>
        <v>1.6111254963543692E+71</v>
      </c>
      <c r="GTG53" s="760">
        <f t="shared" si="118"/>
        <v>1.6594592612450003E+71</v>
      </c>
      <c r="GTH53" s="760">
        <f t="shared" si="118"/>
        <v>1.7092430390823503E+71</v>
      </c>
      <c r="GTI53" s="760">
        <f t="shared" si="118"/>
        <v>1.7605203302548209E+71</v>
      </c>
      <c r="GTJ53" s="760">
        <f t="shared" si="118"/>
        <v>1.8133359401624656E+71</v>
      </c>
      <c r="GTK53" s="760">
        <f t="shared" si="118"/>
        <v>1.8677360183673395E+71</v>
      </c>
      <c r="GTL53" s="760">
        <f t="shared" si="118"/>
        <v>1.9237680989183597E+71</v>
      </c>
      <c r="GTM53" s="760">
        <f t="shared" si="118"/>
        <v>1.9814811418859105E+71</v>
      </c>
      <c r="GTN53" s="760">
        <f t="shared" si="118"/>
        <v>2.040925576142488E+71</v>
      </c>
      <c r="GTO53" s="760">
        <f t="shared" si="118"/>
        <v>2.1021533434267627E+71</v>
      </c>
      <c r="GTP53" s="760">
        <f t="shared" si="118"/>
        <v>2.1652179437295656E+71</v>
      </c>
      <c r="GTQ53" s="760">
        <f t="shared" si="118"/>
        <v>2.2301744820414526E+71</v>
      </c>
      <c r="GTR53" s="760">
        <f t="shared" si="118"/>
        <v>2.2970797165026961E+71</v>
      </c>
      <c r="GTS53" s="760">
        <f t="shared" si="118"/>
        <v>2.3659921079977771E+71</v>
      </c>
      <c r="GTT53" s="760">
        <f t="shared" si="118"/>
        <v>2.4369718712377104E+71</v>
      </c>
      <c r="GTU53" s="760">
        <f t="shared" si="118"/>
        <v>2.5100810273748419E+71</v>
      </c>
      <c r="GTV53" s="760">
        <f t="shared" si="118"/>
        <v>2.585383458196087E+71</v>
      </c>
      <c r="GTW53" s="760">
        <f t="shared" si="118"/>
        <v>2.6629449619419697E+71</v>
      </c>
      <c r="GTX53" s="760">
        <f t="shared" si="118"/>
        <v>2.742833310800229E+71</v>
      </c>
      <c r="GTY53" s="760">
        <f t="shared" si="118"/>
        <v>2.825118310124236E+71</v>
      </c>
      <c r="GTZ53" s="760">
        <f t="shared" si="118"/>
        <v>2.9098718594279634E+71</v>
      </c>
      <c r="GUA53" s="760">
        <f t="shared" si="118"/>
        <v>2.9971680152108024E+71</v>
      </c>
      <c r="GUB53" s="760">
        <f t="shared" si="118"/>
        <v>3.0870830556671265E+71</v>
      </c>
      <c r="GUC53" s="760">
        <f t="shared" si="118"/>
        <v>3.1796955473371406E+71</v>
      </c>
      <c r="GUD53" s="760">
        <f t="shared" si="118"/>
        <v>3.2750864137572547E+71</v>
      </c>
      <c r="GUE53" s="760">
        <f t="shared" si="118"/>
        <v>3.3733390061699725E+71</v>
      </c>
      <c r="GUF53" s="760">
        <f t="shared" si="118"/>
        <v>3.4745391763550719E+71</v>
      </c>
      <c r="GUG53" s="760">
        <f t="shared" si="118"/>
        <v>3.5787753516457242E+71</v>
      </c>
      <c r="GUH53" s="760">
        <f t="shared" si="118"/>
        <v>3.6861386121950961E+71</v>
      </c>
      <c r="GUI53" s="760">
        <f t="shared" si="118"/>
        <v>3.796722770560949E+71</v>
      </c>
      <c r="GUJ53" s="760">
        <f t="shared" si="118"/>
        <v>3.9106244536777776E+71</v>
      </c>
      <c r="GUK53" s="760">
        <f t="shared" si="118"/>
        <v>4.0279431872881109E+71</v>
      </c>
      <c r="GUL53" s="760">
        <f t="shared" si="118"/>
        <v>4.1487814829067544E+71</v>
      </c>
      <c r="GUM53" s="760">
        <f t="shared" si="118"/>
        <v>4.2732449273939569E+71</v>
      </c>
      <c r="GUN53" s="760">
        <f t="shared" si="118"/>
        <v>4.401442275215776E+71</v>
      </c>
      <c r="GUO53" s="760">
        <f t="shared" si="118"/>
        <v>4.5334855434722495E+71</v>
      </c>
      <c r="GUP53" s="760">
        <f t="shared" si="118"/>
        <v>4.6694901097764172E+71</v>
      </c>
      <c r="GUQ53" s="760">
        <f t="shared" si="118"/>
        <v>4.80957481306971E+71</v>
      </c>
      <c r="GUR53" s="760">
        <f t="shared" si="118"/>
        <v>4.9538620574618019E+71</v>
      </c>
      <c r="GUS53" s="760">
        <f t="shared" si="118"/>
        <v>5.1024779191856563E+71</v>
      </c>
      <c r="GUT53" s="760">
        <f t="shared" si="118"/>
        <v>5.255552256761226E+71</v>
      </c>
      <c r="GUU53" s="760">
        <f t="shared" si="118"/>
        <v>5.4132188244640627E+71</v>
      </c>
      <c r="GUV53" s="760">
        <f t="shared" si="118"/>
        <v>5.575615389197985E+71</v>
      </c>
      <c r="GUW53" s="760">
        <f t="shared" si="118"/>
        <v>5.7428838508739245E+71</v>
      </c>
      <c r="GUX53" s="760">
        <f t="shared" si="118"/>
        <v>5.9151703664001429E+71</v>
      </c>
      <c r="GUY53" s="760">
        <f t="shared" si="118"/>
        <v>6.0926254773921471E+71</v>
      </c>
      <c r="GUZ53" s="760">
        <f t="shared" si="118"/>
        <v>6.2754042417139113E+71</v>
      </c>
      <c r="GVA53" s="760">
        <f t="shared" si="118"/>
        <v>6.463666368965329E+71</v>
      </c>
      <c r="GVB53" s="760">
        <f t="shared" si="118"/>
        <v>6.6575763600342892E+71</v>
      </c>
      <c r="GVC53" s="760">
        <f t="shared" si="118"/>
        <v>6.8573036508353184E+71</v>
      </c>
      <c r="GVD53" s="760">
        <f t="shared" si="118"/>
        <v>7.0630227603603782E+71</v>
      </c>
      <c r="GVE53" s="760">
        <f t="shared" si="118"/>
        <v>7.2749134431711897E+71</v>
      </c>
      <c r="GVF53" s="760">
        <f t="shared" si="118"/>
        <v>7.493160846466326E+71</v>
      </c>
      <c r="GVG53" s="760">
        <f t="shared" si="118"/>
        <v>7.7179556718603157E+71</v>
      </c>
      <c r="GVH53" s="760">
        <f t="shared" si="118"/>
        <v>7.9494943420161257E+71</v>
      </c>
      <c r="GVI53" s="760">
        <f t="shared" si="118"/>
        <v>8.18797917227661E+71</v>
      </c>
      <c r="GVJ53" s="760">
        <f t="shared" si="118"/>
        <v>8.433618547444909E+71</v>
      </c>
      <c r="GVK53" s="760">
        <f t="shared" si="118"/>
        <v>8.686627103868256E+71</v>
      </c>
      <c r="GVL53" s="760">
        <f t="shared" si="118"/>
        <v>8.9472259169843031E+71</v>
      </c>
      <c r="GVM53" s="760">
        <f t="shared" si="118"/>
        <v>9.2156426944938334E+71</v>
      </c>
      <c r="GVN53" s="760">
        <f t="shared" si="118"/>
        <v>9.4921119753286484E+71</v>
      </c>
      <c r="GVO53" s="760">
        <f t="shared" ref="GVO53:GXZ53" si="119">+GVN53*$C$53</f>
        <v>9.7768753345885084E+71</v>
      </c>
      <c r="GVP53" s="760">
        <f t="shared" si="119"/>
        <v>1.0070181594626164E+72</v>
      </c>
      <c r="GVQ53" s="760">
        <f t="shared" si="119"/>
        <v>1.0372287042464949E+72</v>
      </c>
      <c r="GVR53" s="760">
        <f t="shared" si="119"/>
        <v>1.0683455653738898E+72</v>
      </c>
      <c r="GVS53" s="760">
        <f t="shared" si="119"/>
        <v>1.1003959323351066E+72</v>
      </c>
      <c r="GVT53" s="760">
        <f t="shared" si="119"/>
        <v>1.1334078103051598E+72</v>
      </c>
      <c r="GVU53" s="760">
        <f t="shared" si="119"/>
        <v>1.1674100446143147E+72</v>
      </c>
      <c r="GVV53" s="760">
        <f t="shared" si="119"/>
        <v>1.2024323459527442E+72</v>
      </c>
      <c r="GVW53" s="760">
        <f t="shared" si="119"/>
        <v>1.2385053163313265E+72</v>
      </c>
      <c r="GVX53" s="760">
        <f t="shared" si="119"/>
        <v>1.2756604758212664E+72</v>
      </c>
      <c r="GVY53" s="760">
        <f t="shared" si="119"/>
        <v>1.3139302900959045E+72</v>
      </c>
      <c r="GVZ53" s="760">
        <f t="shared" si="119"/>
        <v>1.3533481987987817E+72</v>
      </c>
      <c r="GWA53" s="760">
        <f t="shared" si="119"/>
        <v>1.3939486447627451E+72</v>
      </c>
      <c r="GWB53" s="760">
        <f t="shared" si="119"/>
        <v>1.4357671041056275E+72</v>
      </c>
      <c r="GWC53" s="760">
        <f t="shared" si="119"/>
        <v>1.4788401172287963E+72</v>
      </c>
      <c r="GWD53" s="760">
        <f t="shared" si="119"/>
        <v>1.5232053207456602E+72</v>
      </c>
      <c r="GWE53" s="760">
        <f t="shared" si="119"/>
        <v>1.56890148036803E+72</v>
      </c>
      <c r="GWF53" s="760">
        <f t="shared" si="119"/>
        <v>1.6159685247790709E+72</v>
      </c>
      <c r="GWG53" s="760">
        <f t="shared" si="119"/>
        <v>1.664447580522443E+72</v>
      </c>
      <c r="GWH53" s="760">
        <f t="shared" si="119"/>
        <v>1.7143810079381164E+72</v>
      </c>
      <c r="GWI53" s="760">
        <f t="shared" si="119"/>
        <v>1.7658124381762599E+72</v>
      </c>
      <c r="GWJ53" s="760">
        <f t="shared" si="119"/>
        <v>1.8187868113215476E+72</v>
      </c>
      <c r="GWK53" s="760">
        <f t="shared" si="119"/>
        <v>1.8733504156611941E+72</v>
      </c>
      <c r="GWL53" s="760">
        <f t="shared" si="119"/>
        <v>1.9295509281310298E+72</v>
      </c>
      <c r="GWM53" s="760">
        <f t="shared" si="119"/>
        <v>1.9874374559749609E+72</v>
      </c>
      <c r="GWN53" s="760">
        <f t="shared" si="119"/>
        <v>2.0470605796542098E+72</v>
      </c>
      <c r="GWO53" s="760">
        <f t="shared" si="119"/>
        <v>2.1084723970438361E+72</v>
      </c>
      <c r="GWP53" s="760">
        <f t="shared" si="119"/>
        <v>2.1717265689551511E+72</v>
      </c>
      <c r="GWQ53" s="760">
        <f t="shared" si="119"/>
        <v>2.2368783660238058E+72</v>
      </c>
      <c r="GWR53" s="760">
        <f t="shared" si="119"/>
        <v>2.3039847170045201E+72</v>
      </c>
      <c r="GWS53" s="760">
        <f t="shared" si="119"/>
        <v>2.3731042585146556E+72</v>
      </c>
      <c r="GWT53" s="760">
        <f t="shared" si="119"/>
        <v>2.4442973862700955E+72</v>
      </c>
      <c r="GWU53" s="760">
        <f t="shared" si="119"/>
        <v>2.5176263078581984E+72</v>
      </c>
      <c r="GWV53" s="760">
        <f t="shared" si="119"/>
        <v>2.5931550970939445E+72</v>
      </c>
      <c r="GWW53" s="760">
        <f t="shared" si="119"/>
        <v>2.6709497500067628E+72</v>
      </c>
      <c r="GWX53" s="760">
        <f t="shared" si="119"/>
        <v>2.7510782425069657E+72</v>
      </c>
      <c r="GWY53" s="760">
        <f t="shared" si="119"/>
        <v>2.8336105897821747E+72</v>
      </c>
      <c r="GWZ53" s="760">
        <f t="shared" si="119"/>
        <v>2.9186189074756402E+72</v>
      </c>
      <c r="GXA53" s="760">
        <f t="shared" si="119"/>
        <v>3.0061774746999096E+72</v>
      </c>
      <c r="GXB53" s="760">
        <f t="shared" si="119"/>
        <v>3.0963627989409071E+72</v>
      </c>
      <c r="GXC53" s="760">
        <f t="shared" si="119"/>
        <v>3.1892536829091345E+72</v>
      </c>
      <c r="GXD53" s="760">
        <f t="shared" si="119"/>
        <v>3.2849312933964087E+72</v>
      </c>
      <c r="GXE53" s="760">
        <f t="shared" si="119"/>
        <v>3.3834792321983011E+72</v>
      </c>
      <c r="GXF53" s="760">
        <f t="shared" si="119"/>
        <v>3.4849836091642501E+72</v>
      </c>
      <c r="GXG53" s="760">
        <f t="shared" si="119"/>
        <v>3.5895331174391776E+72</v>
      </c>
      <c r="GXH53" s="760">
        <f t="shared" si="119"/>
        <v>3.6972191109623531E+72</v>
      </c>
      <c r="GXI53" s="760">
        <f t="shared" si="119"/>
        <v>3.808135684291224E+72</v>
      </c>
      <c r="GXJ53" s="760">
        <f t="shared" si="119"/>
        <v>3.922379754819961E+72</v>
      </c>
      <c r="GXK53" s="760">
        <f t="shared" si="119"/>
        <v>4.0400511474645599E+72</v>
      </c>
      <c r="GXL53" s="760">
        <f t="shared" si="119"/>
        <v>4.1612526818884966E+72</v>
      </c>
      <c r="GXM53" s="760">
        <f t="shared" si="119"/>
        <v>4.2860902623451516E+72</v>
      </c>
      <c r="GXN53" s="760">
        <f t="shared" si="119"/>
        <v>4.414672970215506E+72</v>
      </c>
      <c r="GXO53" s="760">
        <f t="shared" si="119"/>
        <v>4.5471131593219715E+72</v>
      </c>
      <c r="GXP53" s="760">
        <f t="shared" si="119"/>
        <v>4.6835265541016304E+72</v>
      </c>
      <c r="GXQ53" s="760">
        <f t="shared" si="119"/>
        <v>4.8240323507246797E+72</v>
      </c>
      <c r="GXR53" s="760">
        <f t="shared" si="119"/>
        <v>4.9687533212464199E+72</v>
      </c>
      <c r="GXS53" s="760">
        <f t="shared" si="119"/>
        <v>5.1178159208838123E+72</v>
      </c>
      <c r="GXT53" s="760">
        <f t="shared" si="119"/>
        <v>5.2713503985103265E+72</v>
      </c>
      <c r="GXU53" s="760">
        <f t="shared" si="119"/>
        <v>5.4294909104656362E+72</v>
      </c>
      <c r="GXV53" s="760">
        <f t="shared" si="119"/>
        <v>5.5923756377796057E+72</v>
      </c>
      <c r="GXW53" s="760">
        <f t="shared" si="119"/>
        <v>5.7601469069129938E+72</v>
      </c>
      <c r="GXX53" s="760">
        <f t="shared" si="119"/>
        <v>5.9329513141203837E+72</v>
      </c>
      <c r="GXY53" s="760">
        <f t="shared" si="119"/>
        <v>6.1109398535439951E+72</v>
      </c>
      <c r="GXZ53" s="760">
        <f t="shared" si="119"/>
        <v>6.2942680491503151E+72</v>
      </c>
      <c r="GYA53" s="760">
        <f t="shared" ref="GYA53:HAL53" si="120">+GXZ53*$C$53</f>
        <v>6.483096090624825E+72</v>
      </c>
      <c r="GYB53" s="760">
        <f t="shared" si="120"/>
        <v>6.6775889733435698E+72</v>
      </c>
      <c r="GYC53" s="760">
        <f t="shared" si="120"/>
        <v>6.8779166425438772E+72</v>
      </c>
      <c r="GYD53" s="760">
        <f t="shared" si="120"/>
        <v>7.0842541418201934E+72</v>
      </c>
      <c r="GYE53" s="760">
        <f t="shared" si="120"/>
        <v>7.2967817660747994E+72</v>
      </c>
      <c r="GYF53" s="760">
        <f t="shared" si="120"/>
        <v>7.5156852190570443E+72</v>
      </c>
      <c r="GYG53" s="760">
        <f t="shared" si="120"/>
        <v>7.7411557756287555E+72</v>
      </c>
      <c r="GYH53" s="760">
        <f t="shared" si="120"/>
        <v>7.9733904488976178E+72</v>
      </c>
      <c r="GYI53" s="760">
        <f t="shared" si="120"/>
        <v>8.212592162364547E+72</v>
      </c>
      <c r="GYJ53" s="760">
        <f t="shared" si="120"/>
        <v>8.4589699272354837E+72</v>
      </c>
      <c r="GYK53" s="760">
        <f t="shared" si="120"/>
        <v>8.7127390250525479E+72</v>
      </c>
      <c r="GYL53" s="760">
        <f t="shared" si="120"/>
        <v>8.9741211958041241E+72</v>
      </c>
      <c r="GYM53" s="760">
        <f t="shared" si="120"/>
        <v>9.2433448316782477E+72</v>
      </c>
      <c r="GYN53" s="760">
        <f t="shared" si="120"/>
        <v>9.5206451766285953E+72</v>
      </c>
      <c r="GYO53" s="760">
        <f t="shared" si="120"/>
        <v>9.8062645319274538E+72</v>
      </c>
      <c r="GYP53" s="760">
        <f t="shared" si="120"/>
        <v>1.0100452467885277E+73</v>
      </c>
      <c r="GYQ53" s="760">
        <f t="shared" si="120"/>
        <v>1.0403466041921835E+73</v>
      </c>
      <c r="GYR53" s="760">
        <f t="shared" si="120"/>
        <v>1.071557002317949E+73</v>
      </c>
      <c r="GYS53" s="760">
        <f t="shared" si="120"/>
        <v>1.1037037123874876E+73</v>
      </c>
      <c r="GYT53" s="760">
        <f t="shared" si="120"/>
        <v>1.1368148237591122E+73</v>
      </c>
      <c r="GYU53" s="760">
        <f t="shared" si="120"/>
        <v>1.1709192684718856E+73</v>
      </c>
      <c r="GYV53" s="760">
        <f t="shared" si="120"/>
        <v>1.2060468465260422E+73</v>
      </c>
      <c r="GYW53" s="760">
        <f t="shared" si="120"/>
        <v>1.2422282519218235E+73</v>
      </c>
      <c r="GYX53" s="760">
        <f t="shared" si="120"/>
        <v>1.2794950994794783E+73</v>
      </c>
      <c r="GYY53" s="760">
        <f t="shared" si="120"/>
        <v>1.3178799524638628E+73</v>
      </c>
      <c r="GYZ53" s="760">
        <f t="shared" si="120"/>
        <v>1.3574163510377786E+73</v>
      </c>
      <c r="GZA53" s="760">
        <f t="shared" si="120"/>
        <v>1.398138841568912E+73</v>
      </c>
      <c r="GZB53" s="760">
        <f t="shared" si="120"/>
        <v>1.4400830068159794E+73</v>
      </c>
      <c r="GZC53" s="760">
        <f t="shared" si="120"/>
        <v>1.4832854970204588E+73</v>
      </c>
      <c r="GZD53" s="760">
        <f t="shared" si="120"/>
        <v>1.5277840619310724E+73</v>
      </c>
      <c r="GZE53" s="760">
        <f t="shared" si="120"/>
        <v>1.5736175837890048E+73</v>
      </c>
      <c r="GZF53" s="760">
        <f t="shared" si="120"/>
        <v>1.6208261113026751E+73</v>
      </c>
      <c r="GZG53" s="760">
        <f t="shared" si="120"/>
        <v>1.6694508946417555E+73</v>
      </c>
      <c r="GZH53" s="760">
        <f t="shared" si="120"/>
        <v>1.7195344214810082E+73</v>
      </c>
      <c r="GZI53" s="760">
        <f t="shared" si="120"/>
        <v>1.7711204541254384E+73</v>
      </c>
      <c r="GZJ53" s="760">
        <f t="shared" si="120"/>
        <v>1.8242540677492015E+73</v>
      </c>
      <c r="GZK53" s="760">
        <f t="shared" si="120"/>
        <v>1.8789816897816777E+73</v>
      </c>
      <c r="GZL53" s="760">
        <f t="shared" si="120"/>
        <v>1.9353511404751281E+73</v>
      </c>
      <c r="GZM53" s="760">
        <f t="shared" si="120"/>
        <v>1.9934116746893821E+73</v>
      </c>
      <c r="GZN53" s="760">
        <f t="shared" si="120"/>
        <v>2.0532140249300636E+73</v>
      </c>
      <c r="GZO53" s="760">
        <f t="shared" si="120"/>
        <v>2.1148104456779657E+73</v>
      </c>
      <c r="GZP53" s="760">
        <f t="shared" si="120"/>
        <v>2.1782547590483047E+73</v>
      </c>
      <c r="GZQ53" s="760">
        <f t="shared" si="120"/>
        <v>2.243602401819754E+73</v>
      </c>
      <c r="GZR53" s="760">
        <f t="shared" si="120"/>
        <v>2.3109104738743468E+73</v>
      </c>
      <c r="GZS53" s="760">
        <f t="shared" si="120"/>
        <v>2.3802377880905771E+73</v>
      </c>
      <c r="GZT53" s="760">
        <f t="shared" si="120"/>
        <v>2.4516449217332945E+73</v>
      </c>
      <c r="GZU53" s="760">
        <f t="shared" si="120"/>
        <v>2.5251942693852933E+73</v>
      </c>
      <c r="GZV53" s="760">
        <f t="shared" si="120"/>
        <v>2.6009500974668521E+73</v>
      </c>
      <c r="GZW53" s="760">
        <f t="shared" si="120"/>
        <v>2.6789786003908579E+73</v>
      </c>
      <c r="GZX53" s="760">
        <f t="shared" si="120"/>
        <v>2.7593479584025837E+73</v>
      </c>
      <c r="GZY53" s="760">
        <f t="shared" si="120"/>
        <v>2.8421283971546615E+73</v>
      </c>
      <c r="GZZ53" s="760">
        <f t="shared" si="120"/>
        <v>2.9273922490693013E+73</v>
      </c>
      <c r="HAA53" s="760">
        <f t="shared" si="120"/>
        <v>3.0152140165413802E+73</v>
      </c>
      <c r="HAB53" s="760">
        <f t="shared" si="120"/>
        <v>3.1056704370376217E+73</v>
      </c>
      <c r="HAC53" s="760">
        <f t="shared" si="120"/>
        <v>3.1988405501487505E+73</v>
      </c>
      <c r="HAD53" s="760">
        <f t="shared" si="120"/>
        <v>3.2948057666532132E+73</v>
      </c>
      <c r="HAE53" s="760">
        <f t="shared" si="120"/>
        <v>3.3936499396528097E+73</v>
      </c>
      <c r="HAF53" s="760">
        <f t="shared" si="120"/>
        <v>3.4954594378423942E+73</v>
      </c>
      <c r="HAG53" s="760">
        <f t="shared" si="120"/>
        <v>3.6003232209776659E+73</v>
      </c>
      <c r="HAH53" s="760">
        <f t="shared" si="120"/>
        <v>3.708332917606996E+73</v>
      </c>
      <c r="HAI53" s="760">
        <f t="shared" si="120"/>
        <v>3.8195829051352063E+73</v>
      </c>
      <c r="HAJ53" s="760">
        <f t="shared" si="120"/>
        <v>3.9341703922892627E+73</v>
      </c>
      <c r="HAK53" s="760">
        <f t="shared" si="120"/>
        <v>4.0521955040579404E+73</v>
      </c>
      <c r="HAL53" s="760">
        <f t="shared" si="120"/>
        <v>4.1737613691796787E+73</v>
      </c>
      <c r="HAM53" s="760">
        <f t="shared" ref="HAM53:HCX53" si="121">+HAL53*$C$53</f>
        <v>4.2989742102550693E+73</v>
      </c>
      <c r="HAN53" s="760">
        <f t="shared" si="121"/>
        <v>4.4279434365627212E+73</v>
      </c>
      <c r="HAO53" s="760">
        <f t="shared" si="121"/>
        <v>4.5607817396596028E+73</v>
      </c>
      <c r="HAP53" s="760">
        <f t="shared" si="121"/>
        <v>4.6976051918493907E+73</v>
      </c>
      <c r="HAQ53" s="760">
        <f t="shared" si="121"/>
        <v>4.8385333476048723E+73</v>
      </c>
      <c r="HAR53" s="760">
        <f t="shared" si="121"/>
        <v>4.9836893480330188E+73</v>
      </c>
      <c r="HAS53" s="760">
        <f t="shared" si="121"/>
        <v>5.1332000284740093E+73</v>
      </c>
      <c r="HAT53" s="760">
        <f t="shared" si="121"/>
        <v>5.2871960293282299E+73</v>
      </c>
      <c r="HAU53" s="760">
        <f t="shared" si="121"/>
        <v>5.445811910208077E+73</v>
      </c>
      <c r="HAV53" s="760">
        <f t="shared" si="121"/>
        <v>5.6091862675143195E+73</v>
      </c>
      <c r="HAW53" s="760">
        <f t="shared" si="121"/>
        <v>5.7774618555397498E+73</v>
      </c>
      <c r="HAX53" s="760">
        <f t="shared" si="121"/>
        <v>5.9507857112059424E+73</v>
      </c>
      <c r="HAY53" s="760">
        <f t="shared" si="121"/>
        <v>6.1293092825421213E+73</v>
      </c>
      <c r="HAZ53" s="760">
        <f t="shared" si="121"/>
        <v>6.3131885610183855E+73</v>
      </c>
      <c r="HBA53" s="760">
        <f t="shared" si="121"/>
        <v>6.5025842178489374E+73</v>
      </c>
      <c r="HBB53" s="760">
        <f t="shared" si="121"/>
        <v>6.6976617443844051E+73</v>
      </c>
      <c r="HBC53" s="760">
        <f t="shared" si="121"/>
        <v>6.8985915967159373E+73</v>
      </c>
      <c r="HBD53" s="760">
        <f t="shared" si="121"/>
        <v>7.1055493446174154E+73</v>
      </c>
      <c r="HBE53" s="760">
        <f t="shared" si="121"/>
        <v>7.3187158249559384E+73</v>
      </c>
      <c r="HBF53" s="760">
        <f t="shared" si="121"/>
        <v>7.538277299704617E+73</v>
      </c>
      <c r="HBG53" s="760">
        <f t="shared" si="121"/>
        <v>7.7644256186957553E+73</v>
      </c>
      <c r="HBH53" s="760">
        <f t="shared" si="121"/>
        <v>7.9973583872566281E+73</v>
      </c>
      <c r="HBI53" s="760">
        <f t="shared" si="121"/>
        <v>8.2372791388743268E+73</v>
      </c>
      <c r="HBJ53" s="760">
        <f t="shared" si="121"/>
        <v>8.4843975130405569E+73</v>
      </c>
      <c r="HBK53" s="760">
        <f t="shared" si="121"/>
        <v>8.7389294384317735E+73</v>
      </c>
      <c r="HBL53" s="760">
        <f t="shared" si="121"/>
        <v>9.0010973215847269E+73</v>
      </c>
      <c r="HBM53" s="760">
        <f t="shared" si="121"/>
        <v>9.2711302412322685E+73</v>
      </c>
      <c r="HBN53" s="760">
        <f t="shared" si="121"/>
        <v>9.5492641484692368E+73</v>
      </c>
      <c r="HBO53" s="760">
        <f t="shared" si="121"/>
        <v>9.8357420729233139E+73</v>
      </c>
      <c r="HBP53" s="760">
        <f t="shared" si="121"/>
        <v>1.0130814335111013E+74</v>
      </c>
      <c r="HBQ53" s="760">
        <f t="shared" si="121"/>
        <v>1.0434738765164344E+74</v>
      </c>
      <c r="HBR53" s="760">
        <f t="shared" si="121"/>
        <v>1.0747780928119274E+74</v>
      </c>
      <c r="HBS53" s="760">
        <f t="shared" si="121"/>
        <v>1.1070214355962852E+74</v>
      </c>
      <c r="HBT53" s="760">
        <f t="shared" si="121"/>
        <v>1.1402320786641737E+74</v>
      </c>
      <c r="HBU53" s="760">
        <f t="shared" si="121"/>
        <v>1.174439041024099E+74</v>
      </c>
      <c r="HBV53" s="760">
        <f t="shared" si="121"/>
        <v>1.2096722122548221E+74</v>
      </c>
      <c r="HBW53" s="760">
        <f t="shared" si="121"/>
        <v>1.2459623786224667E+74</v>
      </c>
      <c r="HBX53" s="760">
        <f t="shared" si="121"/>
        <v>1.2833412499811407E+74</v>
      </c>
      <c r="HBY53" s="760">
        <f t="shared" si="121"/>
        <v>1.3218414874805751E+74</v>
      </c>
      <c r="HBZ53" s="760">
        <f t="shared" si="121"/>
        <v>1.3614967321049924E+74</v>
      </c>
      <c r="HCA53" s="760">
        <f t="shared" si="121"/>
        <v>1.4023416340681423E+74</v>
      </c>
      <c r="HCB53" s="760">
        <f t="shared" si="121"/>
        <v>1.4444118830901866E+74</v>
      </c>
      <c r="HCC53" s="760">
        <f t="shared" si="121"/>
        <v>1.4877442395828923E+74</v>
      </c>
      <c r="HCD53" s="760">
        <f t="shared" si="121"/>
        <v>1.5323765667703792E+74</v>
      </c>
      <c r="HCE53" s="760">
        <f t="shared" si="121"/>
        <v>1.5783478637734906E+74</v>
      </c>
      <c r="HCF53" s="760">
        <f t="shared" si="121"/>
        <v>1.6256982996866953E+74</v>
      </c>
      <c r="HCG53" s="760">
        <f t="shared" si="121"/>
        <v>1.6744692486772961E+74</v>
      </c>
      <c r="HCH53" s="760">
        <f t="shared" si="121"/>
        <v>1.7247033261376151E+74</v>
      </c>
      <c r="HCI53" s="760">
        <f t="shared" si="121"/>
        <v>1.7764444259217435E+74</v>
      </c>
      <c r="HCJ53" s="760">
        <f t="shared" si="121"/>
        <v>1.8297377586993959E+74</v>
      </c>
      <c r="HCK53" s="760">
        <f t="shared" si="121"/>
        <v>1.8846298914603777E+74</v>
      </c>
      <c r="HCL53" s="760">
        <f t="shared" si="121"/>
        <v>1.941168788204189E+74</v>
      </c>
      <c r="HCM53" s="760">
        <f t="shared" si="121"/>
        <v>1.9994038518503147E+74</v>
      </c>
      <c r="HCN53" s="760">
        <f t="shared" si="121"/>
        <v>2.0593859674058244E+74</v>
      </c>
      <c r="HCO53" s="760">
        <f t="shared" si="121"/>
        <v>2.1211675464279992E+74</v>
      </c>
      <c r="HCP53" s="760">
        <f t="shared" si="121"/>
        <v>2.1848025728208393E+74</v>
      </c>
      <c r="HCQ53" s="760">
        <f t="shared" si="121"/>
        <v>2.2503466500054645E+74</v>
      </c>
      <c r="HCR53" s="760">
        <f t="shared" si="121"/>
        <v>2.3178570495056285E+74</v>
      </c>
      <c r="HCS53" s="760">
        <f t="shared" si="121"/>
        <v>2.3873927609907973E+74</v>
      </c>
      <c r="HCT53" s="760">
        <f t="shared" si="121"/>
        <v>2.4590145438205213E+74</v>
      </c>
      <c r="HCU53" s="760">
        <f t="shared" si="121"/>
        <v>2.5327849801351368E+74</v>
      </c>
      <c r="HCV53" s="760">
        <f t="shared" si="121"/>
        <v>2.6087685295391911E+74</v>
      </c>
      <c r="HCW53" s="760">
        <f t="shared" si="121"/>
        <v>2.6870315854253668E+74</v>
      </c>
      <c r="HCX53" s="760">
        <f t="shared" si="121"/>
        <v>2.7676425329881278E+74</v>
      </c>
      <c r="HCY53" s="760">
        <f t="shared" ref="HCY53:HFJ53" si="122">+HCX53*$C$53</f>
        <v>2.8506718089777717E+74</v>
      </c>
      <c r="HCZ53" s="760">
        <f t="shared" si="122"/>
        <v>2.936191963247105E+74</v>
      </c>
      <c r="HDA53" s="760">
        <f t="shared" si="122"/>
        <v>3.0242777221445185E+74</v>
      </c>
      <c r="HDB53" s="760">
        <f t="shared" si="122"/>
        <v>3.1150060538088539E+74</v>
      </c>
      <c r="HDC53" s="760">
        <f t="shared" si="122"/>
        <v>3.2084562354231198E+74</v>
      </c>
      <c r="HDD53" s="760">
        <f t="shared" si="122"/>
        <v>3.3047099224858137E+74</v>
      </c>
      <c r="HDE53" s="760">
        <f t="shared" si="122"/>
        <v>3.4038512201603882E+74</v>
      </c>
      <c r="HDF53" s="760">
        <f t="shared" si="122"/>
        <v>3.5059667567651998E+74</v>
      </c>
      <c r="HDG53" s="760">
        <f t="shared" si="122"/>
        <v>3.6111457594681558E+74</v>
      </c>
      <c r="HDH53" s="760">
        <f t="shared" si="122"/>
        <v>3.7194801322522007E+74</v>
      </c>
      <c r="HDI53" s="760">
        <f t="shared" si="122"/>
        <v>3.8310645362197669E+74</v>
      </c>
      <c r="HDJ53" s="760">
        <f t="shared" si="122"/>
        <v>3.9459964723063598E+74</v>
      </c>
      <c r="HDK53" s="760">
        <f t="shared" si="122"/>
        <v>4.0643763664755506E+74</v>
      </c>
      <c r="HDL53" s="760">
        <f t="shared" si="122"/>
        <v>4.1863076574698171E+74</v>
      </c>
      <c r="HDM53" s="760">
        <f t="shared" si="122"/>
        <v>4.3118968871939117E+74</v>
      </c>
      <c r="HDN53" s="760">
        <f t="shared" si="122"/>
        <v>4.4412537938097294E+74</v>
      </c>
      <c r="HDO53" s="760">
        <f t="shared" si="122"/>
        <v>4.5744914076240216E+74</v>
      </c>
      <c r="HDP53" s="760">
        <f t="shared" si="122"/>
        <v>4.711726149852742E+74</v>
      </c>
      <c r="HDQ53" s="760">
        <f t="shared" si="122"/>
        <v>4.8530779343483242E+74</v>
      </c>
      <c r="HDR53" s="760">
        <f t="shared" si="122"/>
        <v>4.998670272378774E+74</v>
      </c>
      <c r="HDS53" s="760">
        <f t="shared" si="122"/>
        <v>5.1486303805501378E+74</v>
      </c>
      <c r="HDT53" s="760">
        <f t="shared" si="122"/>
        <v>5.3030892919666419E+74</v>
      </c>
      <c r="HDU53" s="760">
        <f t="shared" si="122"/>
        <v>5.4621819707256411E+74</v>
      </c>
      <c r="HDV53" s="760">
        <f t="shared" si="122"/>
        <v>5.6260474298474102E+74</v>
      </c>
      <c r="HDW53" s="760">
        <f t="shared" si="122"/>
        <v>5.7948288527428327E+74</v>
      </c>
      <c r="HDX53" s="760">
        <f t="shared" si="122"/>
        <v>5.9686737183251175E+74</v>
      </c>
      <c r="HDY53" s="760">
        <f t="shared" si="122"/>
        <v>6.1477339298748708E+74</v>
      </c>
      <c r="HDZ53" s="760">
        <f t="shared" si="122"/>
        <v>6.332165947771117E+74</v>
      </c>
      <c r="HEA53" s="760">
        <f t="shared" si="122"/>
        <v>6.5221309262042512E+74</v>
      </c>
      <c r="HEB53" s="760">
        <f t="shared" si="122"/>
        <v>6.7177948539903792E+74</v>
      </c>
      <c r="HEC53" s="760">
        <f t="shared" si="122"/>
        <v>6.919328699610091E+74</v>
      </c>
      <c r="HED53" s="760">
        <f t="shared" si="122"/>
        <v>7.1269085605983937E+74</v>
      </c>
      <c r="HEE53" s="760">
        <f t="shared" si="122"/>
        <v>7.3407158174163453E+74</v>
      </c>
      <c r="HEF53" s="760">
        <f t="shared" si="122"/>
        <v>7.5609372919388362E+74</v>
      </c>
      <c r="HEG53" s="760">
        <f t="shared" si="122"/>
        <v>7.7877654106970012E+74</v>
      </c>
      <c r="HEH53" s="760">
        <f t="shared" si="122"/>
        <v>8.0213983730179115E+74</v>
      </c>
      <c r="HEI53" s="760">
        <f t="shared" si="122"/>
        <v>8.2620403242084492E+74</v>
      </c>
      <c r="HEJ53" s="760">
        <f t="shared" si="122"/>
        <v>8.5099015339347025E+74</v>
      </c>
      <c r="HEK53" s="760">
        <f t="shared" si="122"/>
        <v>8.7651985799527434E+74</v>
      </c>
      <c r="HEL53" s="760">
        <f t="shared" si="122"/>
        <v>9.0281545373513257E+74</v>
      </c>
      <c r="HEM53" s="760">
        <f t="shared" si="122"/>
        <v>9.2989991734718658E+74</v>
      </c>
      <c r="HEN53" s="760">
        <f t="shared" si="122"/>
        <v>9.5779691486760227E+74</v>
      </c>
      <c r="HEO53" s="760">
        <f t="shared" si="122"/>
        <v>9.8653082231363043E+74</v>
      </c>
      <c r="HEP53" s="760">
        <f t="shared" si="122"/>
        <v>1.0161267469830393E+75</v>
      </c>
      <c r="HEQ53" s="760">
        <f t="shared" si="122"/>
        <v>1.0466105493925304E+75</v>
      </c>
      <c r="HER53" s="760">
        <f t="shared" si="122"/>
        <v>1.0780088658743064E+75</v>
      </c>
      <c r="HES53" s="760">
        <f t="shared" si="122"/>
        <v>1.1103491318505357E+75</v>
      </c>
      <c r="HET53" s="760">
        <f t="shared" si="122"/>
        <v>1.1436596058060518E+75</v>
      </c>
      <c r="HEU53" s="760">
        <f t="shared" si="122"/>
        <v>1.1779693939802333E+75</v>
      </c>
      <c r="HEV53" s="760">
        <f t="shared" si="122"/>
        <v>1.2133084757996404E+75</v>
      </c>
      <c r="HEW53" s="760">
        <f t="shared" si="122"/>
        <v>1.2497077300736296E+75</v>
      </c>
      <c r="HEX53" s="760">
        <f t="shared" si="122"/>
        <v>1.2871989619758386E+75</v>
      </c>
      <c r="HEY53" s="760">
        <f t="shared" si="122"/>
        <v>1.3258149308351138E+75</v>
      </c>
      <c r="HEZ53" s="760">
        <f t="shared" si="122"/>
        <v>1.3655893787601673E+75</v>
      </c>
      <c r="HFA53" s="760">
        <f t="shared" si="122"/>
        <v>1.4065570601229722E+75</v>
      </c>
      <c r="HFB53" s="760">
        <f t="shared" si="122"/>
        <v>1.4487537719266614E+75</v>
      </c>
      <c r="HFC53" s="760">
        <f t="shared" si="122"/>
        <v>1.4922163850844613E+75</v>
      </c>
      <c r="HFD53" s="760">
        <f t="shared" si="122"/>
        <v>1.5369828766369952E+75</v>
      </c>
      <c r="HFE53" s="760">
        <f t="shared" si="122"/>
        <v>1.5830923629361051E+75</v>
      </c>
      <c r="HFF53" s="760">
        <f t="shared" si="122"/>
        <v>1.6305851338241882E+75</v>
      </c>
      <c r="HFG53" s="760">
        <f t="shared" si="122"/>
        <v>1.6795026878389138E+75</v>
      </c>
      <c r="HFH53" s="760">
        <f t="shared" si="122"/>
        <v>1.7298877684740812E+75</v>
      </c>
      <c r="HFI53" s="760">
        <f t="shared" si="122"/>
        <v>1.7817844015283037E+75</v>
      </c>
      <c r="HFJ53" s="760">
        <f t="shared" si="122"/>
        <v>1.835237933574153E+75</v>
      </c>
      <c r="HFK53" s="760">
        <f t="shared" ref="HFK53:HHV53" si="123">+HFJ53*$C$53</f>
        <v>1.8902950715813775E+75</v>
      </c>
      <c r="HFL53" s="760">
        <f t="shared" si="123"/>
        <v>1.947003923728819E+75</v>
      </c>
      <c r="HFM53" s="760">
        <f t="shared" si="123"/>
        <v>2.0054140414406835E+75</v>
      </c>
      <c r="HFN53" s="760">
        <f t="shared" si="123"/>
        <v>2.0655764626839042E+75</v>
      </c>
      <c r="HFO53" s="760">
        <f t="shared" si="123"/>
        <v>2.1275437565644214E+75</v>
      </c>
      <c r="HFP53" s="760">
        <f t="shared" si="123"/>
        <v>2.1913700692613541E+75</v>
      </c>
      <c r="HFQ53" s="760">
        <f t="shared" si="123"/>
        <v>2.257111171339195E+75</v>
      </c>
      <c r="HFR53" s="760">
        <f t="shared" si="123"/>
        <v>2.3248245064793711E+75</v>
      </c>
      <c r="HFS53" s="760">
        <f t="shared" si="123"/>
        <v>2.3945692416737525E+75</v>
      </c>
      <c r="HFT53" s="760">
        <f t="shared" si="123"/>
        <v>2.4664063189239652E+75</v>
      </c>
      <c r="HFU53" s="760">
        <f t="shared" si="123"/>
        <v>2.5403985084916841E+75</v>
      </c>
      <c r="HFV53" s="760">
        <f t="shared" si="123"/>
        <v>2.6166104637464347E+75</v>
      </c>
      <c r="HFW53" s="760">
        <f t="shared" si="123"/>
        <v>2.6951087776588278E+75</v>
      </c>
      <c r="HFX53" s="760">
        <f t="shared" si="123"/>
        <v>2.7759620409885928E+75</v>
      </c>
      <c r="HFY53" s="760">
        <f t="shared" si="123"/>
        <v>2.8592409022182509E+75</v>
      </c>
      <c r="HFZ53" s="760">
        <f t="shared" si="123"/>
        <v>2.9450181292847985E+75</v>
      </c>
      <c r="HGA53" s="760">
        <f t="shared" si="123"/>
        <v>3.0333686731633424E+75</v>
      </c>
      <c r="HGB53" s="760">
        <f t="shared" si="123"/>
        <v>3.124369733358243E+75</v>
      </c>
      <c r="HGC53" s="760">
        <f t="shared" si="123"/>
        <v>3.2181008253589905E+75</v>
      </c>
      <c r="HGD53" s="760">
        <f t="shared" si="123"/>
        <v>3.3146438501197603E+75</v>
      </c>
      <c r="HGE53" s="760">
        <f t="shared" si="123"/>
        <v>3.4140831656233532E+75</v>
      </c>
      <c r="HGF53" s="760">
        <f t="shared" si="123"/>
        <v>3.5165056605920538E+75</v>
      </c>
      <c r="HGG53" s="760">
        <f t="shared" si="123"/>
        <v>3.6220008304098157E+75</v>
      </c>
      <c r="HGH53" s="760">
        <f t="shared" si="123"/>
        <v>3.73066085532211E+75</v>
      </c>
      <c r="HGI53" s="760">
        <f t="shared" si="123"/>
        <v>3.8425806809817733E+75</v>
      </c>
      <c r="HGJ53" s="760">
        <f t="shared" si="123"/>
        <v>3.9578581014112266E+75</v>
      </c>
      <c r="HGK53" s="760">
        <f t="shared" si="123"/>
        <v>4.0765938444535631E+75</v>
      </c>
      <c r="HGL53" s="760">
        <f t="shared" si="123"/>
        <v>4.1988916597871698E+75</v>
      </c>
      <c r="HGM53" s="760">
        <f t="shared" si="123"/>
        <v>4.3248584095807851E+75</v>
      </c>
      <c r="HGN53" s="760">
        <f t="shared" si="123"/>
        <v>4.4546041618682089E+75</v>
      </c>
      <c r="HGO53" s="760">
        <f t="shared" si="123"/>
        <v>4.588242286724255E+75</v>
      </c>
      <c r="HGP53" s="760">
        <f t="shared" si="123"/>
        <v>4.7258895553259831E+75</v>
      </c>
      <c r="HGQ53" s="760">
        <f t="shared" si="123"/>
        <v>4.8676662419857626E+75</v>
      </c>
      <c r="HGR53" s="760">
        <f t="shared" si="123"/>
        <v>5.0136962292453355E+75</v>
      </c>
      <c r="HGS53" s="760">
        <f t="shared" si="123"/>
        <v>5.1641071161226955E+75</v>
      </c>
      <c r="HGT53" s="760">
        <f t="shared" si="123"/>
        <v>5.3190303296063765E+75</v>
      </c>
      <c r="HGU53" s="760">
        <f t="shared" si="123"/>
        <v>5.4786012394945681E+75</v>
      </c>
      <c r="HGV53" s="760">
        <f t="shared" si="123"/>
        <v>5.642959276679405E+75</v>
      </c>
      <c r="HGW53" s="760">
        <f t="shared" si="123"/>
        <v>5.8122480549797871E+75</v>
      </c>
      <c r="HGX53" s="760">
        <f t="shared" si="123"/>
        <v>5.9866154966291811E+75</v>
      </c>
      <c r="HGY53" s="760">
        <f t="shared" si="123"/>
        <v>6.1662139615280565E+75</v>
      </c>
      <c r="HGZ53" s="760">
        <f t="shared" si="123"/>
        <v>6.3512003803738985E+75</v>
      </c>
      <c r="HHA53" s="760">
        <f t="shared" si="123"/>
        <v>6.5417363917851158E+75</v>
      </c>
      <c r="HHB53" s="760">
        <f t="shared" si="123"/>
        <v>6.7379884835386693E+75</v>
      </c>
      <c r="HHC53" s="760">
        <f t="shared" si="123"/>
        <v>6.9401281380448299E+75</v>
      </c>
      <c r="HHD53" s="760">
        <f t="shared" si="123"/>
        <v>7.1483319821861749E+75</v>
      </c>
      <c r="HHE53" s="760">
        <f t="shared" si="123"/>
        <v>7.362781941651761E+75</v>
      </c>
      <c r="HHF53" s="760">
        <f t="shared" si="123"/>
        <v>7.5836653999013137E+75</v>
      </c>
      <c r="HHG53" s="760">
        <f t="shared" si="123"/>
        <v>7.8111753618983541E+75</v>
      </c>
      <c r="HHH53" s="760">
        <f t="shared" si="123"/>
        <v>8.0455106227553047E+75</v>
      </c>
      <c r="HHI53" s="760">
        <f t="shared" si="123"/>
        <v>8.2868759414379637E+75</v>
      </c>
      <c r="HHJ53" s="760">
        <f t="shared" si="123"/>
        <v>8.5354822196811024E+75</v>
      </c>
      <c r="HHK53" s="760">
        <f t="shared" si="123"/>
        <v>8.7915466862715356E+75</v>
      </c>
      <c r="HHL53" s="760">
        <f t="shared" si="123"/>
        <v>9.0552930868596821E+75</v>
      </c>
      <c r="HHM53" s="760">
        <f t="shared" si="123"/>
        <v>9.3269518794654733E+75</v>
      </c>
      <c r="HHN53" s="760">
        <f t="shared" si="123"/>
        <v>9.6067604358494375E+75</v>
      </c>
      <c r="HHO53" s="760">
        <f t="shared" si="123"/>
        <v>9.8949632489249206E+75</v>
      </c>
      <c r="HHP53" s="760">
        <f t="shared" si="123"/>
        <v>1.0191812146392668E+76</v>
      </c>
      <c r="HHQ53" s="760">
        <f t="shared" si="123"/>
        <v>1.0497566510784448E+76</v>
      </c>
      <c r="HHR53" s="760">
        <f t="shared" si="123"/>
        <v>1.0812493506107981E+76</v>
      </c>
      <c r="HHS53" s="760">
        <f t="shared" si="123"/>
        <v>1.1136868311291221E+76</v>
      </c>
      <c r="HHT53" s="760">
        <f t="shared" si="123"/>
        <v>1.1470974360629958E+76</v>
      </c>
      <c r="HHU53" s="760">
        <f t="shared" si="123"/>
        <v>1.1815103591448857E+76</v>
      </c>
      <c r="HHV53" s="760">
        <f t="shared" si="123"/>
        <v>1.2169556699192323E+76</v>
      </c>
      <c r="HHW53" s="760">
        <f t="shared" ref="HHW53:HKH53" si="124">+HHV53*$C$53</f>
        <v>1.2534643400168093E+76</v>
      </c>
      <c r="HHX53" s="760">
        <f t="shared" si="124"/>
        <v>1.2910682702173135E+76</v>
      </c>
      <c r="HHY53" s="760">
        <f t="shared" si="124"/>
        <v>1.329800318323833E+76</v>
      </c>
      <c r="HHZ53" s="760">
        <f t="shared" si="124"/>
        <v>1.369694327873548E+76</v>
      </c>
      <c r="HIA53" s="760">
        <f t="shared" si="124"/>
        <v>1.4107851577097544E+76</v>
      </c>
      <c r="HIB53" s="760">
        <f t="shared" si="124"/>
        <v>1.453108712441047E+76</v>
      </c>
      <c r="HIC53" s="760">
        <f t="shared" si="124"/>
        <v>1.4967019738142786E+76</v>
      </c>
      <c r="HID53" s="760">
        <f t="shared" si="124"/>
        <v>1.541603033028707E+76</v>
      </c>
      <c r="HIE53" s="760">
        <f t="shared" si="124"/>
        <v>1.5878511240195683E+76</v>
      </c>
      <c r="HIF53" s="760">
        <f t="shared" si="124"/>
        <v>1.6354866577401555E+76</v>
      </c>
      <c r="HIG53" s="760">
        <f t="shared" si="124"/>
        <v>1.6845512574723603E+76</v>
      </c>
      <c r="HIH53" s="760">
        <f t="shared" si="124"/>
        <v>1.7350877951965313E+76</v>
      </c>
      <c r="HII53" s="760">
        <f t="shared" si="124"/>
        <v>1.7871404290524272E+76</v>
      </c>
      <c r="HIJ53" s="760">
        <f t="shared" si="124"/>
        <v>1.8407546419240001E+76</v>
      </c>
      <c r="HIK53" s="760">
        <f t="shared" si="124"/>
        <v>1.8959772811817201E+76</v>
      </c>
      <c r="HIL53" s="760">
        <f t="shared" si="124"/>
        <v>1.9528565996171717E+76</v>
      </c>
      <c r="HIM53" s="760">
        <f t="shared" si="124"/>
        <v>2.0114422976056867E+76</v>
      </c>
      <c r="HIN53" s="760">
        <f t="shared" si="124"/>
        <v>2.0717855665338575E+76</v>
      </c>
      <c r="HIO53" s="760">
        <f t="shared" si="124"/>
        <v>2.1339391335298732E+76</v>
      </c>
      <c r="HIP53" s="760">
        <f t="shared" si="124"/>
        <v>2.1979573075357696E+76</v>
      </c>
      <c r="HIQ53" s="760">
        <f t="shared" si="124"/>
        <v>2.2638960267618428E+76</v>
      </c>
      <c r="HIR53" s="760">
        <f t="shared" si="124"/>
        <v>2.331812907564698E+76</v>
      </c>
      <c r="HIS53" s="760">
        <f t="shared" si="124"/>
        <v>2.401767294791639E+76</v>
      </c>
      <c r="HIT53" s="760">
        <f t="shared" si="124"/>
        <v>2.4738203136353882E+76</v>
      </c>
      <c r="HIU53" s="760">
        <f t="shared" si="124"/>
        <v>2.5480349230444499E+76</v>
      </c>
      <c r="HIV53" s="760">
        <f t="shared" si="124"/>
        <v>2.6244759707357833E+76</v>
      </c>
      <c r="HIW53" s="760">
        <f t="shared" si="124"/>
        <v>2.703210249857857E+76</v>
      </c>
      <c r="HIX53" s="760">
        <f t="shared" si="124"/>
        <v>2.7843065573535926E+76</v>
      </c>
      <c r="HIY53" s="760">
        <f t="shared" si="124"/>
        <v>2.8678357540742006E+76</v>
      </c>
      <c r="HIZ53" s="760">
        <f t="shared" si="124"/>
        <v>2.9538708266964267E+76</v>
      </c>
      <c r="HJA53" s="760">
        <f t="shared" si="124"/>
        <v>3.0424869514973199E+76</v>
      </c>
      <c r="HJB53" s="760">
        <f t="shared" si="124"/>
        <v>3.1337615600422398E+76</v>
      </c>
      <c r="HJC53" s="760">
        <f t="shared" si="124"/>
        <v>3.2277744068435069E+76</v>
      </c>
      <c r="HJD53" s="760">
        <f t="shared" si="124"/>
        <v>3.3246076390488125E+76</v>
      </c>
      <c r="HJE53" s="760">
        <f t="shared" si="124"/>
        <v>3.4243458682202771E+76</v>
      </c>
      <c r="HJF53" s="760">
        <f t="shared" si="124"/>
        <v>3.5270762442668854E+76</v>
      </c>
      <c r="HJG53" s="760">
        <f t="shared" si="124"/>
        <v>3.6328885315948923E+76</v>
      </c>
      <c r="HJH53" s="760">
        <f t="shared" si="124"/>
        <v>3.7418751875427394E+76</v>
      </c>
      <c r="HJI53" s="760">
        <f t="shared" si="124"/>
        <v>3.8541314431690216E+76</v>
      </c>
      <c r="HJJ53" s="760">
        <f t="shared" si="124"/>
        <v>3.9697553864640924E+76</v>
      </c>
      <c r="HJK53" s="760">
        <f t="shared" si="124"/>
        <v>4.0888480480580151E+76</v>
      </c>
      <c r="HJL53" s="760">
        <f t="shared" si="124"/>
        <v>4.2115134894997556E+76</v>
      </c>
      <c r="HJM53" s="760">
        <f t="shared" si="124"/>
        <v>4.3378588941847486E+76</v>
      </c>
      <c r="HJN53" s="760">
        <f t="shared" si="124"/>
        <v>4.4679946610102914E+76</v>
      </c>
      <c r="HJO53" s="760">
        <f t="shared" si="124"/>
        <v>4.6020345008406002E+76</v>
      </c>
      <c r="HJP53" s="760">
        <f t="shared" si="124"/>
        <v>4.7400955358658185E+76</v>
      </c>
      <c r="HJQ53" s="760">
        <f t="shared" si="124"/>
        <v>4.8822984019417931E+76</v>
      </c>
      <c r="HJR53" s="760">
        <f t="shared" si="124"/>
        <v>5.0287673540000469E+76</v>
      </c>
      <c r="HJS53" s="760">
        <f t="shared" si="124"/>
        <v>5.1796303746200487E+76</v>
      </c>
      <c r="HJT53" s="760">
        <f t="shared" si="124"/>
        <v>5.3350192858586505E+76</v>
      </c>
      <c r="HJU53" s="760">
        <f t="shared" si="124"/>
        <v>5.4950698644344103E+76</v>
      </c>
      <c r="HJV53" s="760">
        <f t="shared" si="124"/>
        <v>5.6599219603674428E+76</v>
      </c>
      <c r="HJW53" s="760">
        <f t="shared" si="124"/>
        <v>5.8297196191784662E+76</v>
      </c>
      <c r="HJX53" s="760">
        <f t="shared" si="124"/>
        <v>6.00461120775382E+76</v>
      </c>
      <c r="HJY53" s="760">
        <f t="shared" si="124"/>
        <v>6.1847495439864346E+76</v>
      </c>
      <c r="HJZ53" s="760">
        <f t="shared" si="124"/>
        <v>6.3702920303060275E+76</v>
      </c>
      <c r="HKA53" s="760">
        <f t="shared" si="124"/>
        <v>6.5614007912152082E+76</v>
      </c>
      <c r="HKB53" s="760">
        <f t="shared" si="124"/>
        <v>6.7582428149516643E+76</v>
      </c>
      <c r="HKC53" s="760">
        <f t="shared" si="124"/>
        <v>6.9609900994002141E+76</v>
      </c>
      <c r="HKD53" s="760">
        <f t="shared" si="124"/>
        <v>7.1698198023822208E+76</v>
      </c>
      <c r="HKE53" s="760">
        <f t="shared" si="124"/>
        <v>7.3849143964536879E+76</v>
      </c>
      <c r="HKF53" s="760">
        <f t="shared" si="124"/>
        <v>7.6064618283472985E+76</v>
      </c>
      <c r="HKG53" s="760">
        <f t="shared" si="124"/>
        <v>7.8346556831977173E+76</v>
      </c>
      <c r="HKH53" s="760">
        <f t="shared" si="124"/>
        <v>8.0696953536936491E+76</v>
      </c>
      <c r="HKI53" s="760">
        <f t="shared" ref="HKI53:HMT53" si="125">+HKH53*$C$53</f>
        <v>8.3117862143044593E+76</v>
      </c>
      <c r="HKJ53" s="760">
        <f t="shared" si="125"/>
        <v>8.5611398007335931E+76</v>
      </c>
      <c r="HKK53" s="760">
        <f t="shared" si="125"/>
        <v>8.8179739947556016E+76</v>
      </c>
      <c r="HKL53" s="760">
        <f t="shared" si="125"/>
        <v>9.0825132145982699E+76</v>
      </c>
      <c r="HKM53" s="760">
        <f t="shared" si="125"/>
        <v>9.3549886110362183E+76</v>
      </c>
      <c r="HKN53" s="760">
        <f t="shared" si="125"/>
        <v>9.6356382693673053E+76</v>
      </c>
      <c r="HKO53" s="760">
        <f t="shared" si="125"/>
        <v>9.9247074174483246E+76</v>
      </c>
      <c r="HKP53" s="760">
        <f t="shared" si="125"/>
        <v>1.0222448639971774E+77</v>
      </c>
      <c r="HKQ53" s="760">
        <f t="shared" si="125"/>
        <v>1.0529122099170927E+77</v>
      </c>
      <c r="HKR53" s="760">
        <f t="shared" si="125"/>
        <v>1.0844995762146056E+77</v>
      </c>
      <c r="HKS53" s="760">
        <f t="shared" si="125"/>
        <v>1.1170345635010438E+77</v>
      </c>
      <c r="HKT53" s="760">
        <f t="shared" si="125"/>
        <v>1.1505456004060751E+77</v>
      </c>
      <c r="HKU53" s="760">
        <f t="shared" si="125"/>
        <v>1.1850619684182573E+77</v>
      </c>
      <c r="HKV53" s="760">
        <f t="shared" si="125"/>
        <v>1.2206138274708051E+77</v>
      </c>
      <c r="HKW53" s="760">
        <f t="shared" si="125"/>
        <v>1.2572322422949294E+77</v>
      </c>
      <c r="HKX53" s="760">
        <f t="shared" si="125"/>
        <v>1.2949492095637773E+77</v>
      </c>
      <c r="HKY53" s="760">
        <f t="shared" si="125"/>
        <v>1.3337976858506906E+77</v>
      </c>
      <c r="HKZ53" s="760">
        <f t="shared" si="125"/>
        <v>1.3738116164262114E+77</v>
      </c>
      <c r="HLA53" s="760">
        <f t="shared" si="125"/>
        <v>1.4150259649189977E+77</v>
      </c>
      <c r="HLB53" s="760">
        <f t="shared" si="125"/>
        <v>1.4574767438665676E+77</v>
      </c>
      <c r="HLC53" s="760">
        <f t="shared" si="125"/>
        <v>1.5012010461825646E+77</v>
      </c>
      <c r="HLD53" s="760">
        <f t="shared" si="125"/>
        <v>1.5462370775680416E+77</v>
      </c>
      <c r="HLE53" s="760">
        <f t="shared" si="125"/>
        <v>1.5926241898950829E+77</v>
      </c>
      <c r="HLF53" s="760">
        <f t="shared" si="125"/>
        <v>1.6404029155919353E+77</v>
      </c>
      <c r="HLG53" s="760">
        <f t="shared" si="125"/>
        <v>1.6896150030596934E+77</v>
      </c>
      <c r="HLH53" s="760">
        <f t="shared" si="125"/>
        <v>1.7403034531514844E+77</v>
      </c>
      <c r="HLI53" s="760">
        <f t="shared" si="125"/>
        <v>1.792512556746029E+77</v>
      </c>
      <c r="HLJ53" s="760">
        <f t="shared" si="125"/>
        <v>1.8462879334484099E+77</v>
      </c>
      <c r="HLK53" s="760">
        <f t="shared" si="125"/>
        <v>1.9016765714518623E+77</v>
      </c>
      <c r="HLL53" s="760">
        <f t="shared" si="125"/>
        <v>1.9587268685954181E+77</v>
      </c>
      <c r="HLM53" s="760">
        <f t="shared" si="125"/>
        <v>2.0174886746532807E+77</v>
      </c>
      <c r="HLN53" s="760">
        <f t="shared" si="125"/>
        <v>2.0780133348928791E+77</v>
      </c>
      <c r="HLO53" s="760">
        <f t="shared" si="125"/>
        <v>2.1403537349396657E+77</v>
      </c>
      <c r="HLP53" s="760">
        <f t="shared" si="125"/>
        <v>2.2045643469878556E+77</v>
      </c>
      <c r="HLQ53" s="760">
        <f t="shared" si="125"/>
        <v>2.2707012773974912E+77</v>
      </c>
      <c r="HLR53" s="760">
        <f t="shared" si="125"/>
        <v>2.3388223157194158E+77</v>
      </c>
      <c r="HLS53" s="760">
        <f t="shared" si="125"/>
        <v>2.4089869851909982E+77</v>
      </c>
      <c r="HLT53" s="760">
        <f t="shared" si="125"/>
        <v>2.4812565947467283E+77</v>
      </c>
      <c r="HLU53" s="760">
        <f t="shared" si="125"/>
        <v>2.5556942925891304E+77</v>
      </c>
      <c r="HLV53" s="760">
        <f t="shared" si="125"/>
        <v>2.6323651213668044E+77</v>
      </c>
      <c r="HLW53" s="760">
        <f t="shared" si="125"/>
        <v>2.7113360750078084E+77</v>
      </c>
      <c r="HLX53" s="760">
        <f t="shared" si="125"/>
        <v>2.7926761572580427E+77</v>
      </c>
      <c r="HLY53" s="760">
        <f t="shared" si="125"/>
        <v>2.876456441975784E+77</v>
      </c>
      <c r="HLZ53" s="760">
        <f t="shared" si="125"/>
        <v>2.9627501352350577E+77</v>
      </c>
      <c r="HMA53" s="760">
        <f t="shared" si="125"/>
        <v>3.0516326392921094E+77</v>
      </c>
      <c r="HMB53" s="760">
        <f t="shared" si="125"/>
        <v>3.1431816184708726E+77</v>
      </c>
      <c r="HMC53" s="760">
        <f t="shared" si="125"/>
        <v>3.237477067024999E+77</v>
      </c>
      <c r="HMD53" s="760">
        <f t="shared" si="125"/>
        <v>3.334601379035749E+77</v>
      </c>
      <c r="HME53" s="760">
        <f t="shared" si="125"/>
        <v>3.4346394204068213E+77</v>
      </c>
      <c r="HMF53" s="760">
        <f t="shared" si="125"/>
        <v>3.5376786030190259E+77</v>
      </c>
      <c r="HMG53" s="760">
        <f t="shared" si="125"/>
        <v>3.6438089611095967E+77</v>
      </c>
      <c r="HMH53" s="760">
        <f t="shared" si="125"/>
        <v>3.753123229942885E+77</v>
      </c>
      <c r="HMI53" s="760">
        <f t="shared" si="125"/>
        <v>3.8657169268411718E+77</v>
      </c>
      <c r="HMJ53" s="760">
        <f t="shared" si="125"/>
        <v>3.9816884346464073E+77</v>
      </c>
      <c r="HMK53" s="760">
        <f t="shared" si="125"/>
        <v>4.1011390876857998E+77</v>
      </c>
      <c r="HML53" s="760">
        <f t="shared" si="125"/>
        <v>4.2241732603163741E+77</v>
      </c>
      <c r="HMM53" s="760">
        <f t="shared" si="125"/>
        <v>4.3508984581258652E+77</v>
      </c>
      <c r="HMN53" s="760">
        <f t="shared" si="125"/>
        <v>4.4814254118696411E+77</v>
      </c>
      <c r="HMO53" s="760">
        <f t="shared" si="125"/>
        <v>4.6158681742257304E+77</v>
      </c>
      <c r="HMP53" s="760">
        <f t="shared" si="125"/>
        <v>4.754344219452502E+77</v>
      </c>
      <c r="HMQ53" s="760">
        <f t="shared" si="125"/>
        <v>4.8969745460360769E+77</v>
      </c>
      <c r="HMR53" s="760">
        <f t="shared" si="125"/>
        <v>5.0438837824171589E+77</v>
      </c>
      <c r="HMS53" s="760">
        <f t="shared" si="125"/>
        <v>5.1952002958896737E+77</v>
      </c>
      <c r="HMT53" s="760">
        <f t="shared" si="125"/>
        <v>5.351056304766364E+77</v>
      </c>
      <c r="HMU53" s="760">
        <f t="shared" ref="HMU53:HPF53" si="126">+HMT53*$C$53</f>
        <v>5.5115879939093552E+77</v>
      </c>
      <c r="HMV53" s="760">
        <f t="shared" si="126"/>
        <v>5.6769356337266364E+77</v>
      </c>
      <c r="HMW53" s="760">
        <f t="shared" si="126"/>
        <v>5.8472437027384356E+77</v>
      </c>
      <c r="HMX53" s="760">
        <f t="shared" si="126"/>
        <v>6.0226610138205891E+77</v>
      </c>
      <c r="HMY53" s="760">
        <f t="shared" si="126"/>
        <v>6.2033408442352068E+77</v>
      </c>
      <c r="HMZ53" s="760">
        <f t="shared" si="126"/>
        <v>6.3894410695622633E+77</v>
      </c>
      <c r="HNA53" s="760">
        <f t="shared" si="126"/>
        <v>6.581124301649131E+77</v>
      </c>
      <c r="HNB53" s="760">
        <f t="shared" si="126"/>
        <v>6.7785580306986051E+77</v>
      </c>
      <c r="HNC53" s="760">
        <f t="shared" si="126"/>
        <v>6.9819147716195635E+77</v>
      </c>
      <c r="HND53" s="760">
        <f t="shared" si="126"/>
        <v>7.1913722147681511E+77</v>
      </c>
      <c r="HNE53" s="760">
        <f t="shared" si="126"/>
        <v>7.4071133812111957E+77</v>
      </c>
      <c r="HNF53" s="760">
        <f t="shared" si="126"/>
        <v>7.6293267826475314E+77</v>
      </c>
      <c r="HNG53" s="760">
        <f t="shared" si="126"/>
        <v>7.8582065861269573E+77</v>
      </c>
      <c r="HNH53" s="760">
        <f t="shared" si="126"/>
        <v>8.0939527837107663E+77</v>
      </c>
      <c r="HNI53" s="760">
        <f t="shared" si="126"/>
        <v>8.3367713672220894E+77</v>
      </c>
      <c r="HNJ53" s="760">
        <f t="shared" si="126"/>
        <v>8.5868745082387519E+77</v>
      </c>
      <c r="HNK53" s="760">
        <f t="shared" si="126"/>
        <v>8.8444807434859147E+77</v>
      </c>
      <c r="HNL53" s="760">
        <f t="shared" si="126"/>
        <v>9.1098151657904923E+77</v>
      </c>
      <c r="HNM53" s="760">
        <f t="shared" si="126"/>
        <v>9.383109620764208E+77</v>
      </c>
      <c r="HNN53" s="760">
        <f t="shared" si="126"/>
        <v>9.6646029093871353E+77</v>
      </c>
      <c r="HNO53" s="760">
        <f t="shared" si="126"/>
        <v>9.9545409966687504E+77</v>
      </c>
      <c r="HNP53" s="760">
        <f t="shared" si="126"/>
        <v>1.0253177226568812E+78</v>
      </c>
      <c r="HNQ53" s="760">
        <f t="shared" si="126"/>
        <v>1.0560772543365878E+78</v>
      </c>
      <c r="HNR53" s="760">
        <f t="shared" si="126"/>
        <v>1.0877595719666853E+78</v>
      </c>
      <c r="HNS53" s="760">
        <f t="shared" si="126"/>
        <v>1.1203923591256859E+78</v>
      </c>
      <c r="HNT53" s="760">
        <f t="shared" si="126"/>
        <v>1.1540041298994564E+78</v>
      </c>
      <c r="HNU53" s="760">
        <f t="shared" si="126"/>
        <v>1.1886242537964401E+78</v>
      </c>
      <c r="HNV53" s="760">
        <f t="shared" si="126"/>
        <v>1.2242829814103332E+78</v>
      </c>
      <c r="HNW53" s="760">
        <f t="shared" si="126"/>
        <v>1.2610114708526433E+78</v>
      </c>
      <c r="HNX53" s="760">
        <f t="shared" si="126"/>
        <v>1.2988418149782227E+78</v>
      </c>
      <c r="HNY53" s="760">
        <f t="shared" si="126"/>
        <v>1.3378070694275695E+78</v>
      </c>
      <c r="HNZ53" s="760">
        <f t="shared" si="126"/>
        <v>1.3779412815103966E+78</v>
      </c>
      <c r="HOA53" s="760">
        <f t="shared" si="126"/>
        <v>1.4192795199557086E+78</v>
      </c>
      <c r="HOB53" s="760">
        <f t="shared" si="126"/>
        <v>1.46185790555438E+78</v>
      </c>
      <c r="HOC53" s="760">
        <f t="shared" si="126"/>
        <v>1.5057136427210114E+78</v>
      </c>
      <c r="HOD53" s="760">
        <f t="shared" si="126"/>
        <v>1.5508850520026417E+78</v>
      </c>
      <c r="HOE53" s="760">
        <f t="shared" si="126"/>
        <v>1.5974116035627209E+78</v>
      </c>
      <c r="HOF53" s="760">
        <f t="shared" si="126"/>
        <v>1.6453339516696027E+78</v>
      </c>
      <c r="HOG53" s="760">
        <f t="shared" si="126"/>
        <v>1.6946939702196908E+78</v>
      </c>
      <c r="HOH53" s="760">
        <f t="shared" si="126"/>
        <v>1.7455347893262817E+78</v>
      </c>
      <c r="HOI53" s="760">
        <f t="shared" si="126"/>
        <v>1.7979008330060701E+78</v>
      </c>
      <c r="HOJ53" s="760">
        <f t="shared" si="126"/>
        <v>1.8518378579962522E+78</v>
      </c>
      <c r="HOK53" s="760">
        <f t="shared" si="126"/>
        <v>1.9073929937361396E+78</v>
      </c>
      <c r="HOL53" s="760">
        <f t="shared" si="126"/>
        <v>1.9646147835482238E+78</v>
      </c>
      <c r="HOM53" s="760">
        <f t="shared" si="126"/>
        <v>2.0235532270546706E+78</v>
      </c>
      <c r="HON53" s="760">
        <f t="shared" si="126"/>
        <v>2.0842598238663105E+78</v>
      </c>
      <c r="HOO53" s="760">
        <f t="shared" si="126"/>
        <v>2.1467876185822997E+78</v>
      </c>
      <c r="HOP53" s="760">
        <f t="shared" si="126"/>
        <v>2.2111912471397689E+78</v>
      </c>
      <c r="HOQ53" s="760">
        <f t="shared" si="126"/>
        <v>2.2775269845539619E+78</v>
      </c>
      <c r="HOR53" s="760">
        <f t="shared" si="126"/>
        <v>2.345852794090581E+78</v>
      </c>
      <c r="HOS53" s="760">
        <f t="shared" si="126"/>
        <v>2.4162283779132985E+78</v>
      </c>
      <c r="HOT53" s="760">
        <f t="shared" si="126"/>
        <v>2.4887152292506974E+78</v>
      </c>
      <c r="HOU53" s="760">
        <f t="shared" si="126"/>
        <v>2.5633766861282184E+78</v>
      </c>
      <c r="HOV53" s="760">
        <f t="shared" si="126"/>
        <v>2.640277986712065E+78</v>
      </c>
      <c r="HOW53" s="760">
        <f t="shared" si="126"/>
        <v>2.7194863263134272E+78</v>
      </c>
      <c r="HOX53" s="760">
        <f t="shared" si="126"/>
        <v>2.8010709161028299E+78</v>
      </c>
      <c r="HOY53" s="760">
        <f t="shared" si="126"/>
        <v>2.8851030435859148E+78</v>
      </c>
      <c r="HOZ53" s="760">
        <f t="shared" si="126"/>
        <v>2.9716561348934923E+78</v>
      </c>
      <c r="HPA53" s="760">
        <f t="shared" si="126"/>
        <v>3.060805818940297E+78</v>
      </c>
      <c r="HPB53" s="760">
        <f t="shared" si="126"/>
        <v>3.152629993508506E+78</v>
      </c>
      <c r="HPC53" s="760">
        <f t="shared" si="126"/>
        <v>3.2472088933137613E+78</v>
      </c>
      <c r="HPD53" s="760">
        <f t="shared" si="126"/>
        <v>3.3446251601131742E+78</v>
      </c>
      <c r="HPE53" s="760">
        <f t="shared" si="126"/>
        <v>3.4449639149165694E+78</v>
      </c>
      <c r="HPF53" s="760">
        <f t="shared" si="126"/>
        <v>3.5483128323640664E+78</v>
      </c>
      <c r="HPG53" s="760">
        <f t="shared" ref="HPG53:HRR53" si="127">+HPF53*$C$53</f>
        <v>3.6547622173349884E+78</v>
      </c>
      <c r="HPH53" s="760">
        <f t="shared" si="127"/>
        <v>3.764405083855038E+78</v>
      </c>
      <c r="HPI53" s="760">
        <f t="shared" si="127"/>
        <v>3.8773372363706892E+78</v>
      </c>
      <c r="HPJ53" s="760">
        <f t="shared" si="127"/>
        <v>3.9936573534618103E+78</v>
      </c>
      <c r="HPK53" s="760">
        <f t="shared" si="127"/>
        <v>4.1134670740656648E+78</v>
      </c>
      <c r="HPL53" s="760">
        <f t="shared" si="127"/>
        <v>4.236871086287635E+78</v>
      </c>
      <c r="HPM53" s="760">
        <f t="shared" si="127"/>
        <v>4.3639772188762646E+78</v>
      </c>
      <c r="HPN53" s="760">
        <f t="shared" si="127"/>
        <v>4.4948965354425523E+78</v>
      </c>
      <c r="HPO53" s="760">
        <f t="shared" si="127"/>
        <v>4.6297434315058289E+78</v>
      </c>
      <c r="HPP53" s="760">
        <f t="shared" si="127"/>
        <v>4.7686357344510037E+78</v>
      </c>
      <c r="HPQ53" s="760">
        <f t="shared" si="127"/>
        <v>4.9116948064845335E+78</v>
      </c>
      <c r="HPR53" s="760">
        <f t="shared" si="127"/>
        <v>5.0590456506790699E+78</v>
      </c>
      <c r="HPS53" s="760">
        <f t="shared" si="127"/>
        <v>5.2108170201994421E+78</v>
      </c>
      <c r="HPT53" s="760">
        <f t="shared" si="127"/>
        <v>5.3671415308054252E+78</v>
      </c>
      <c r="HPU53" s="760">
        <f t="shared" si="127"/>
        <v>5.5281557767295884E+78</v>
      </c>
      <c r="HPV53" s="760">
        <f t="shared" si="127"/>
        <v>5.6940004500314762E+78</v>
      </c>
      <c r="HPW53" s="760">
        <f t="shared" si="127"/>
        <v>5.8648204635324205E+78</v>
      </c>
      <c r="HPX53" s="760">
        <f t="shared" si="127"/>
        <v>6.0407650774383936E+78</v>
      </c>
      <c r="HPY53" s="760">
        <f t="shared" si="127"/>
        <v>6.2219880297615454E+78</v>
      </c>
      <c r="HPZ53" s="760">
        <f t="shared" si="127"/>
        <v>6.4086476706543917E+78</v>
      </c>
      <c r="HQA53" s="760">
        <f t="shared" si="127"/>
        <v>6.6009071007740241E+78</v>
      </c>
      <c r="HQB53" s="760">
        <f t="shared" si="127"/>
        <v>6.7989343137972448E+78</v>
      </c>
      <c r="HQC53" s="760">
        <f t="shared" si="127"/>
        <v>7.0029023432111627E+78</v>
      </c>
      <c r="HQD53" s="760">
        <f t="shared" si="127"/>
        <v>7.2129894135074974E+78</v>
      </c>
      <c r="HQE53" s="760">
        <f t="shared" si="127"/>
        <v>7.429379095912722E+78</v>
      </c>
      <c r="HQF53" s="760">
        <f t="shared" si="127"/>
        <v>7.6522604687901034E+78</v>
      </c>
      <c r="HQG53" s="760">
        <f t="shared" si="127"/>
        <v>7.8818282828538074E+78</v>
      </c>
      <c r="HQH53" s="760">
        <f t="shared" si="127"/>
        <v>8.1182831313394213E+78</v>
      </c>
      <c r="HQI53" s="760">
        <f t="shared" si="127"/>
        <v>8.3618316252796047E+78</v>
      </c>
      <c r="HQJ53" s="760">
        <f t="shared" si="127"/>
        <v>8.6126865740379926E+78</v>
      </c>
      <c r="HQK53" s="760">
        <f t="shared" si="127"/>
        <v>8.8710671712591317E+78</v>
      </c>
      <c r="HQL53" s="760">
        <f t="shared" si="127"/>
        <v>9.1371991863969065E+78</v>
      </c>
      <c r="HQM53" s="760">
        <f t="shared" si="127"/>
        <v>9.4113151619888143E+78</v>
      </c>
      <c r="HQN53" s="760">
        <f t="shared" si="127"/>
        <v>9.6936546168484797E+78</v>
      </c>
      <c r="HQO53" s="760">
        <f t="shared" si="127"/>
        <v>9.9844642553539351E+78</v>
      </c>
      <c r="HQP53" s="760">
        <f t="shared" si="127"/>
        <v>1.0283998183014554E+79</v>
      </c>
      <c r="HQQ53" s="760">
        <f t="shared" si="127"/>
        <v>1.0592518128504991E+79</v>
      </c>
      <c r="HQR53" s="760">
        <f t="shared" si="127"/>
        <v>1.091029367236014E+79</v>
      </c>
      <c r="HQS53" s="760">
        <f t="shared" si="127"/>
        <v>1.1237602482530944E+79</v>
      </c>
      <c r="HQT53" s="760">
        <f t="shared" si="127"/>
        <v>1.1574730557006873E+79</v>
      </c>
      <c r="HQU53" s="760">
        <f t="shared" si="127"/>
        <v>1.192197247371708E+79</v>
      </c>
      <c r="HQV53" s="760">
        <f t="shared" si="127"/>
        <v>1.2279631647928592E+79</v>
      </c>
      <c r="HQW53" s="760">
        <f t="shared" si="127"/>
        <v>1.2648020597366451E+79</v>
      </c>
      <c r="HQX53" s="760">
        <f t="shared" si="127"/>
        <v>1.3027461215287444E+79</v>
      </c>
      <c r="HQY53" s="760">
        <f t="shared" si="127"/>
        <v>1.3418285051746068E+79</v>
      </c>
      <c r="HQZ53" s="760">
        <f t="shared" si="127"/>
        <v>1.382083360329845E+79</v>
      </c>
      <c r="HRA53" s="760">
        <f t="shared" si="127"/>
        <v>1.4235458611397404E+79</v>
      </c>
      <c r="HRB53" s="760">
        <f t="shared" si="127"/>
        <v>1.4662522369739327E+79</v>
      </c>
      <c r="HRC53" s="760">
        <f t="shared" si="127"/>
        <v>1.5102398040831506E+79</v>
      </c>
      <c r="HRD53" s="760">
        <f t="shared" si="127"/>
        <v>1.5555469982056452E+79</v>
      </c>
      <c r="HRE53" s="760">
        <f t="shared" si="127"/>
        <v>1.6022134081518145E+79</v>
      </c>
      <c r="HRF53" s="760">
        <f t="shared" si="127"/>
        <v>1.6502798103963692E+79</v>
      </c>
      <c r="HRG53" s="760">
        <f t="shared" si="127"/>
        <v>1.6997882047082602E+79</v>
      </c>
      <c r="HRH53" s="760">
        <f t="shared" si="127"/>
        <v>1.750781850849508E+79</v>
      </c>
      <c r="HRI53" s="760">
        <f t="shared" si="127"/>
        <v>1.8033053063749933E+79</v>
      </c>
      <c r="HRJ53" s="760">
        <f t="shared" si="127"/>
        <v>1.8574044655662431E+79</v>
      </c>
      <c r="HRK53" s="760">
        <f t="shared" si="127"/>
        <v>1.9131265995332304E+79</v>
      </c>
      <c r="HRL53" s="760">
        <f t="shared" si="127"/>
        <v>1.9705203975192275E+79</v>
      </c>
      <c r="HRM53" s="760">
        <f t="shared" si="127"/>
        <v>2.0296360094448045E+79</v>
      </c>
      <c r="HRN53" s="760">
        <f t="shared" si="127"/>
        <v>2.0905250897281488E+79</v>
      </c>
      <c r="HRO53" s="760">
        <f t="shared" si="127"/>
        <v>2.1532408424199934E+79</v>
      </c>
      <c r="HRP53" s="760">
        <f t="shared" si="127"/>
        <v>2.2178380676925932E+79</v>
      </c>
      <c r="HRQ53" s="760">
        <f t="shared" si="127"/>
        <v>2.2843732097233709E+79</v>
      </c>
      <c r="HRR53" s="760">
        <f t="shared" si="127"/>
        <v>2.3529044060150722E+79</v>
      </c>
      <c r="HRS53" s="760">
        <f t="shared" ref="HRS53:HUD53" si="128">+HRR53*$C$53</f>
        <v>2.4234915381955243E+79</v>
      </c>
      <c r="HRT53" s="760">
        <f t="shared" si="128"/>
        <v>2.4961962843413901E+79</v>
      </c>
      <c r="HRU53" s="760">
        <f t="shared" si="128"/>
        <v>2.571082172871632E+79</v>
      </c>
      <c r="HRV53" s="760">
        <f t="shared" si="128"/>
        <v>2.648214638057781E+79</v>
      </c>
      <c r="HRW53" s="760">
        <f t="shared" si="128"/>
        <v>2.7276610771995144E+79</v>
      </c>
      <c r="HRX53" s="760">
        <f t="shared" si="128"/>
        <v>2.8094909095155001E+79</v>
      </c>
      <c r="HRY53" s="760">
        <f t="shared" si="128"/>
        <v>2.893775636800965E+79</v>
      </c>
      <c r="HRZ53" s="760">
        <f t="shared" si="128"/>
        <v>2.9805889059049941E+79</v>
      </c>
      <c r="HSA53" s="760">
        <f t="shared" si="128"/>
        <v>3.0700065730821442E+79</v>
      </c>
      <c r="HSB53" s="760">
        <f t="shared" si="128"/>
        <v>3.1621067702746085E+79</v>
      </c>
      <c r="HSC53" s="760">
        <f t="shared" si="128"/>
        <v>3.256969973382847E+79</v>
      </c>
      <c r="HSD53" s="760">
        <f t="shared" si="128"/>
        <v>3.3546790725843324E+79</v>
      </c>
      <c r="HSE53" s="760">
        <f t="shared" si="128"/>
        <v>3.4553194447618627E+79</v>
      </c>
      <c r="HSF53" s="760">
        <f t="shared" si="128"/>
        <v>3.5589790281047189E+79</v>
      </c>
      <c r="HSG53" s="760">
        <f t="shared" si="128"/>
        <v>3.6657483989478603E+79</v>
      </c>
      <c r="HSH53" s="760">
        <f t="shared" si="128"/>
        <v>3.7757208509162963E+79</v>
      </c>
      <c r="HSI53" s="760">
        <f t="shared" si="128"/>
        <v>3.8889924764437853E+79</v>
      </c>
      <c r="HSJ53" s="760">
        <f t="shared" si="128"/>
        <v>4.0056622507370987E+79</v>
      </c>
      <c r="HSK53" s="760">
        <f t="shared" si="128"/>
        <v>4.1258321182592119E+79</v>
      </c>
      <c r="HSL53" s="760">
        <f t="shared" si="128"/>
        <v>4.2496070818069885E+79</v>
      </c>
      <c r="HSM53" s="760">
        <f t="shared" si="128"/>
        <v>4.3770952942611985E+79</v>
      </c>
      <c r="HSN53" s="760">
        <f t="shared" si="128"/>
        <v>4.5084081530890348E+79</v>
      </c>
      <c r="HSO53" s="760">
        <f t="shared" si="128"/>
        <v>4.6436603976817057E+79</v>
      </c>
      <c r="HSP53" s="760">
        <f t="shared" si="128"/>
        <v>4.7829702096121569E+79</v>
      </c>
      <c r="HSQ53" s="760">
        <f t="shared" si="128"/>
        <v>4.9264593159005215E+79</v>
      </c>
      <c r="HSR53" s="760">
        <f t="shared" si="128"/>
        <v>5.0742530953775373E+79</v>
      </c>
      <c r="HSS53" s="760">
        <f t="shared" si="128"/>
        <v>5.2264806882388633E+79</v>
      </c>
      <c r="HST53" s="760">
        <f t="shared" si="128"/>
        <v>5.3832751088860295E+79</v>
      </c>
      <c r="HSU53" s="760">
        <f t="shared" si="128"/>
        <v>5.5447733621526105E+79</v>
      </c>
      <c r="HSV53" s="760">
        <f t="shared" si="128"/>
        <v>5.7111165630171892E+79</v>
      </c>
      <c r="HSW53" s="760">
        <f t="shared" si="128"/>
        <v>5.8824500599077051E+79</v>
      </c>
      <c r="HSX53" s="760">
        <f t="shared" si="128"/>
        <v>6.0589235617049365E+79</v>
      </c>
      <c r="HSY53" s="760">
        <f t="shared" si="128"/>
        <v>6.240691268556085E+79</v>
      </c>
      <c r="HSZ53" s="760">
        <f t="shared" si="128"/>
        <v>6.4279120066127671E+79</v>
      </c>
      <c r="HTA53" s="760">
        <f t="shared" si="128"/>
        <v>6.6207493668111509E+79</v>
      </c>
      <c r="HTB53" s="760">
        <f t="shared" si="128"/>
        <v>6.8193718478154857E+79</v>
      </c>
      <c r="HTC53" s="760">
        <f t="shared" si="128"/>
        <v>7.0239530032499504E+79</v>
      </c>
      <c r="HTD53" s="760">
        <f t="shared" si="128"/>
        <v>7.234671593347449E+79</v>
      </c>
      <c r="HTE53" s="760">
        <f t="shared" si="128"/>
        <v>7.4517117411478721E+79</v>
      </c>
      <c r="HTF53" s="760">
        <f t="shared" si="128"/>
        <v>7.6752630933823083E+79</v>
      </c>
      <c r="HTG53" s="760">
        <f t="shared" si="128"/>
        <v>7.9055209861837777E+79</v>
      </c>
      <c r="HTH53" s="760">
        <f t="shared" si="128"/>
        <v>8.1426866157692906E+79</v>
      </c>
      <c r="HTI53" s="760">
        <f t="shared" si="128"/>
        <v>8.3869672142423689E+79</v>
      </c>
      <c r="HTJ53" s="760">
        <f t="shared" si="128"/>
        <v>8.6385762306696408E+79</v>
      </c>
      <c r="HTK53" s="760">
        <f t="shared" si="128"/>
        <v>8.8977335175897308E+79</v>
      </c>
      <c r="HTL53" s="760">
        <f t="shared" si="128"/>
        <v>9.1646655231174225E+79</v>
      </c>
      <c r="HTM53" s="760">
        <f t="shared" si="128"/>
        <v>9.4396054888109457E+79</v>
      </c>
      <c r="HTN53" s="760">
        <f t="shared" si="128"/>
        <v>9.7227936534752742E+79</v>
      </c>
      <c r="HTO53" s="760">
        <f t="shared" si="128"/>
        <v>1.0014477463079533E+80</v>
      </c>
      <c r="HTP53" s="760">
        <f t="shared" si="128"/>
        <v>1.0314911786971919E+80</v>
      </c>
      <c r="HTQ53" s="760">
        <f t="shared" si="128"/>
        <v>1.0624359140581078E+80</v>
      </c>
      <c r="HTR53" s="760">
        <f t="shared" si="128"/>
        <v>1.094308991479851E+80</v>
      </c>
      <c r="HTS53" s="760">
        <f t="shared" si="128"/>
        <v>1.1271382612242465E+80</v>
      </c>
      <c r="HTT53" s="760">
        <f t="shared" si="128"/>
        <v>1.1609524090609739E+80</v>
      </c>
      <c r="HTU53" s="760">
        <f t="shared" si="128"/>
        <v>1.1957809813328031E+80</v>
      </c>
      <c r="HTV53" s="760">
        <f t="shared" si="128"/>
        <v>1.2316544107727871E+80</v>
      </c>
      <c r="HTW53" s="760">
        <f t="shared" si="128"/>
        <v>1.2686040430959709E+80</v>
      </c>
      <c r="HTX53" s="760">
        <f t="shared" si="128"/>
        <v>1.3066621643888501E+80</v>
      </c>
      <c r="HTY53" s="760">
        <f t="shared" si="128"/>
        <v>1.3458620293205157E+80</v>
      </c>
      <c r="HTZ53" s="760">
        <f t="shared" si="128"/>
        <v>1.3862378902001313E+80</v>
      </c>
      <c r="HUA53" s="760">
        <f t="shared" si="128"/>
        <v>1.4278250269061353E+80</v>
      </c>
      <c r="HUB53" s="760">
        <f t="shared" si="128"/>
        <v>1.4706597777133193E+80</v>
      </c>
      <c r="HUC53" s="760">
        <f t="shared" si="128"/>
        <v>1.514779571044719E+80</v>
      </c>
      <c r="HUD53" s="760">
        <f t="shared" si="128"/>
        <v>1.5602229581760605E+80</v>
      </c>
      <c r="HUE53" s="760">
        <f t="shared" ref="HUE53:HWP53" si="129">+HUD53*$C$53</f>
        <v>1.6070296469213425E+80</v>
      </c>
      <c r="HUF53" s="760">
        <f t="shared" si="129"/>
        <v>1.6552405363289829E+80</v>
      </c>
      <c r="HUG53" s="760">
        <f t="shared" si="129"/>
        <v>1.7048977524188524E+80</v>
      </c>
      <c r="HUH53" s="760">
        <f t="shared" si="129"/>
        <v>1.756044684991418E+80</v>
      </c>
      <c r="HUI53" s="760">
        <f t="shared" si="129"/>
        <v>1.8087260255411605E+80</v>
      </c>
      <c r="HUJ53" s="760">
        <f t="shared" si="129"/>
        <v>1.8629878063073954E+80</v>
      </c>
      <c r="HUK53" s="760">
        <f t="shared" si="129"/>
        <v>1.9188774404966174E+80</v>
      </c>
      <c r="HUL53" s="760">
        <f t="shared" si="129"/>
        <v>1.976443763711516E+80</v>
      </c>
      <c r="HUM53" s="760">
        <f t="shared" si="129"/>
        <v>2.0357370766228615E+80</v>
      </c>
      <c r="HUN53" s="760">
        <f t="shared" si="129"/>
        <v>2.0968091889215474E+80</v>
      </c>
      <c r="HUO53" s="760">
        <f t="shared" si="129"/>
        <v>2.159713464589194E+80</v>
      </c>
      <c r="HUP53" s="760">
        <f t="shared" si="129"/>
        <v>2.2245048685268699E+80</v>
      </c>
      <c r="HUQ53" s="760">
        <f t="shared" si="129"/>
        <v>2.2912400145826761E+80</v>
      </c>
      <c r="HUR53" s="760">
        <f t="shared" si="129"/>
        <v>2.3599772150201565E+80</v>
      </c>
      <c r="HUS53" s="760">
        <f t="shared" si="129"/>
        <v>2.4307765314707614E+80</v>
      </c>
      <c r="HUT53" s="760">
        <f t="shared" si="129"/>
        <v>2.5036998274148843E+80</v>
      </c>
      <c r="HUU53" s="760">
        <f t="shared" si="129"/>
        <v>2.5788108222373309E+80</v>
      </c>
      <c r="HUV53" s="760">
        <f t="shared" si="129"/>
        <v>2.656175146904451E+80</v>
      </c>
      <c r="HUW53" s="760">
        <f t="shared" si="129"/>
        <v>2.7358604013115844E+80</v>
      </c>
      <c r="HUX53" s="760">
        <f t="shared" si="129"/>
        <v>2.8179362133509322E+80</v>
      </c>
      <c r="HUY53" s="760">
        <f t="shared" si="129"/>
        <v>2.9024742997514604E+80</v>
      </c>
      <c r="HUZ53" s="760">
        <f t="shared" si="129"/>
        <v>2.989548528744004E+80</v>
      </c>
      <c r="HVA53" s="760">
        <f t="shared" si="129"/>
        <v>3.0792349846063245E+80</v>
      </c>
      <c r="HVB53" s="760">
        <f t="shared" si="129"/>
        <v>3.1716120341445142E+80</v>
      </c>
      <c r="HVC53" s="760">
        <f t="shared" si="129"/>
        <v>3.2667603951688499E+80</v>
      </c>
      <c r="HVD53" s="760">
        <f t="shared" si="129"/>
        <v>3.3647632070239153E+80</v>
      </c>
      <c r="HVE53" s="760">
        <f t="shared" si="129"/>
        <v>3.465706103234633E+80</v>
      </c>
      <c r="HVF53" s="760">
        <f t="shared" si="129"/>
        <v>3.569677286331672E+80</v>
      </c>
      <c r="HVG53" s="760">
        <f t="shared" si="129"/>
        <v>3.6767676049216225E+80</v>
      </c>
      <c r="HVH53" s="760">
        <f t="shared" si="129"/>
        <v>3.7870706330692714E+80</v>
      </c>
      <c r="HVI53" s="760">
        <f t="shared" si="129"/>
        <v>3.9006827520613493E+80</v>
      </c>
      <c r="HVJ53" s="760">
        <f t="shared" si="129"/>
        <v>4.0177032346231899E+80</v>
      </c>
      <c r="HVK53" s="760">
        <f t="shared" si="129"/>
        <v>4.1382343316618858E+80</v>
      </c>
      <c r="HVL53" s="760">
        <f t="shared" si="129"/>
        <v>4.2623813616117425E+80</v>
      </c>
      <c r="HVM53" s="760">
        <f t="shared" si="129"/>
        <v>4.3902528024600947E+80</v>
      </c>
      <c r="HVN53" s="760">
        <f t="shared" si="129"/>
        <v>4.5219603865338976E+80</v>
      </c>
      <c r="HVO53" s="760">
        <f t="shared" si="129"/>
        <v>4.6576191981299146E+80</v>
      </c>
      <c r="HVP53" s="760">
        <f t="shared" si="129"/>
        <v>4.7973477740738125E+80</v>
      </c>
      <c r="HVQ53" s="760">
        <f t="shared" si="129"/>
        <v>4.9412682072960273E+80</v>
      </c>
      <c r="HVR53" s="760">
        <f t="shared" si="129"/>
        <v>5.0895062535149087E+80</v>
      </c>
      <c r="HVS53" s="760">
        <f t="shared" si="129"/>
        <v>5.242191441120356E+80</v>
      </c>
      <c r="HVT53" s="760">
        <f t="shared" si="129"/>
        <v>5.3994571843539672E+80</v>
      </c>
      <c r="HVU53" s="760">
        <f t="shared" si="129"/>
        <v>5.5614408998845865E+80</v>
      </c>
      <c r="HVV53" s="760">
        <f t="shared" si="129"/>
        <v>5.7282841268811238E+80</v>
      </c>
      <c r="HVW53" s="760">
        <f t="shared" si="129"/>
        <v>5.9001326506875579E+80</v>
      </c>
      <c r="HVX53" s="760">
        <f t="shared" si="129"/>
        <v>6.0771366302081845E+80</v>
      </c>
      <c r="HVY53" s="760">
        <f t="shared" si="129"/>
        <v>6.2594507291144303E+80</v>
      </c>
      <c r="HVZ53" s="760">
        <f t="shared" si="129"/>
        <v>6.4472342509878633E+80</v>
      </c>
      <c r="HWA53" s="760">
        <f t="shared" si="129"/>
        <v>6.6406512785174997E+80</v>
      </c>
      <c r="HWB53" s="760">
        <f t="shared" si="129"/>
        <v>6.8398708168730247E+80</v>
      </c>
      <c r="HWC53" s="760">
        <f t="shared" si="129"/>
        <v>7.0450669413792158E+80</v>
      </c>
      <c r="HWD53" s="760">
        <f t="shared" si="129"/>
        <v>7.2564189496205929E+80</v>
      </c>
      <c r="HWE53" s="760">
        <f t="shared" si="129"/>
        <v>7.4741115181092112E+80</v>
      </c>
      <c r="HWF53" s="760">
        <f t="shared" si="129"/>
        <v>7.6983348636524877E+80</v>
      </c>
      <c r="HWG53" s="760">
        <f t="shared" si="129"/>
        <v>7.9292849095620621E+80</v>
      </c>
      <c r="HWH53" s="760">
        <f t="shared" si="129"/>
        <v>8.1671634568489237E+80</v>
      </c>
      <c r="HWI53" s="760">
        <f t="shared" si="129"/>
        <v>8.4121783605543912E+80</v>
      </c>
      <c r="HWJ53" s="760">
        <f t="shared" si="129"/>
        <v>8.6645437113710235E+80</v>
      </c>
      <c r="HWK53" s="760">
        <f t="shared" si="129"/>
        <v>8.9244800227121545E+80</v>
      </c>
      <c r="HWL53" s="760">
        <f t="shared" si="129"/>
        <v>9.1922144233935195E+80</v>
      </c>
      <c r="HWM53" s="760">
        <f t="shared" si="129"/>
        <v>9.4679808560953256E+80</v>
      </c>
      <c r="HWN53" s="760">
        <f t="shared" si="129"/>
        <v>9.7520202817781853E+80</v>
      </c>
      <c r="HWO53" s="760">
        <f t="shared" si="129"/>
        <v>1.0044580890231532E+81</v>
      </c>
      <c r="HWP53" s="760">
        <f t="shared" si="129"/>
        <v>1.0345918316938479E+81</v>
      </c>
      <c r="HWQ53" s="760">
        <f t="shared" ref="HWQ53:HZB53" si="130">+HWP53*$C$53</f>
        <v>1.0656295866446633E+81</v>
      </c>
      <c r="HWR53" s="760">
        <f t="shared" si="130"/>
        <v>1.0975984742440032E+81</v>
      </c>
      <c r="HWS53" s="760">
        <f t="shared" si="130"/>
        <v>1.1305264284713233E+81</v>
      </c>
      <c r="HWT53" s="760">
        <f t="shared" si="130"/>
        <v>1.1644422213254631E+81</v>
      </c>
      <c r="HWU53" s="760">
        <f t="shared" si="130"/>
        <v>1.1993754879652271E+81</v>
      </c>
      <c r="HWV53" s="760">
        <f t="shared" si="130"/>
        <v>1.2353567526041839E+81</v>
      </c>
      <c r="HWW53" s="760">
        <f t="shared" si="130"/>
        <v>1.2724174551823095E+81</v>
      </c>
      <c r="HWX53" s="760">
        <f t="shared" si="130"/>
        <v>1.3105899788377788E+81</v>
      </c>
      <c r="HWY53" s="760">
        <f t="shared" si="130"/>
        <v>1.3499076782029123E+81</v>
      </c>
      <c r="HWZ53" s="760">
        <f t="shared" si="130"/>
        <v>1.3904049085489997E+81</v>
      </c>
      <c r="HXA53" s="760">
        <f t="shared" si="130"/>
        <v>1.4321170558054697E+81</v>
      </c>
      <c r="HXB53" s="760">
        <f t="shared" si="130"/>
        <v>1.4750805674796339E+81</v>
      </c>
      <c r="HXC53" s="760">
        <f t="shared" si="130"/>
        <v>1.5193329845040229E+81</v>
      </c>
      <c r="HXD53" s="760">
        <f t="shared" si="130"/>
        <v>1.5649129740391437E+81</v>
      </c>
      <c r="HXE53" s="760">
        <f t="shared" si="130"/>
        <v>1.611860363260318E+81</v>
      </c>
      <c r="HXF53" s="760">
        <f t="shared" si="130"/>
        <v>1.6602161741581275E+81</v>
      </c>
      <c r="HXG53" s="760">
        <f t="shared" si="130"/>
        <v>1.7100226593828714E+81</v>
      </c>
      <c r="HXH53" s="760">
        <f t="shared" si="130"/>
        <v>1.7613233391643575E+81</v>
      </c>
      <c r="HXI53" s="760">
        <f t="shared" si="130"/>
        <v>1.8141630393392884E+81</v>
      </c>
      <c r="HXJ53" s="760">
        <f t="shared" si="130"/>
        <v>1.8685879305194671E+81</v>
      </c>
      <c r="HXK53" s="760">
        <f t="shared" si="130"/>
        <v>1.924645568435051E+81</v>
      </c>
      <c r="HXL53" s="760">
        <f t="shared" si="130"/>
        <v>1.9823849354881028E+81</v>
      </c>
      <c r="HXM53" s="760">
        <f t="shared" si="130"/>
        <v>2.0418564835527458E+81</v>
      </c>
      <c r="HXN53" s="760">
        <f t="shared" si="130"/>
        <v>2.1031121780593282E+81</v>
      </c>
      <c r="HXO53" s="760">
        <f t="shared" si="130"/>
        <v>2.1662055434011081E+81</v>
      </c>
      <c r="HXP53" s="760">
        <f t="shared" si="130"/>
        <v>2.2311917097031412E+81</v>
      </c>
      <c r="HXQ53" s="760">
        <f t="shared" si="130"/>
        <v>2.2981274609942356E+81</v>
      </c>
      <c r="HXR53" s="760">
        <f t="shared" si="130"/>
        <v>2.3670712848240627E+81</v>
      </c>
      <c r="HXS53" s="760">
        <f t="shared" si="130"/>
        <v>2.4380834233687847E+81</v>
      </c>
      <c r="HXT53" s="760">
        <f t="shared" si="130"/>
        <v>2.5112259260698483E+81</v>
      </c>
      <c r="HXU53" s="760">
        <f t="shared" si="130"/>
        <v>2.5865627038519438E+81</v>
      </c>
      <c r="HXV53" s="760">
        <f t="shared" si="130"/>
        <v>2.664159584967502E+81</v>
      </c>
      <c r="HXW53" s="760">
        <f t="shared" si="130"/>
        <v>2.7440843725165272E+81</v>
      </c>
      <c r="HXX53" s="760">
        <f t="shared" si="130"/>
        <v>2.8264069036920231E+81</v>
      </c>
      <c r="HXY53" s="760">
        <f t="shared" si="130"/>
        <v>2.9111991108027838E+81</v>
      </c>
      <c r="HXZ53" s="760">
        <f t="shared" si="130"/>
        <v>2.9985350841268675E+81</v>
      </c>
      <c r="HYA53" s="760">
        <f t="shared" si="130"/>
        <v>3.0884911366506737E+81</v>
      </c>
      <c r="HYB53" s="760">
        <f t="shared" si="130"/>
        <v>3.181145870750194E+81</v>
      </c>
      <c r="HYC53" s="760">
        <f t="shared" si="130"/>
        <v>3.2765802468726999E+81</v>
      </c>
      <c r="HYD53" s="760">
        <f t="shared" si="130"/>
        <v>3.3748776542788811E+81</v>
      </c>
      <c r="HYE53" s="760">
        <f t="shared" si="130"/>
        <v>3.4761239839072474E+81</v>
      </c>
      <c r="HYF53" s="760">
        <f t="shared" si="130"/>
        <v>3.5804077034244649E+81</v>
      </c>
      <c r="HYG53" s="760">
        <f t="shared" si="130"/>
        <v>3.687819934527199E+81</v>
      </c>
      <c r="HYH53" s="760">
        <f t="shared" si="130"/>
        <v>3.7984545325630152E+81</v>
      </c>
      <c r="HYI53" s="760">
        <f t="shared" si="130"/>
        <v>3.9124081685399058E+81</v>
      </c>
      <c r="HYJ53" s="760">
        <f t="shared" si="130"/>
        <v>4.0297804135961029E+81</v>
      </c>
      <c r="HYK53" s="760">
        <f t="shared" si="130"/>
        <v>4.1506738260039864E+81</v>
      </c>
      <c r="HYL53" s="760">
        <f t="shared" si="130"/>
        <v>4.2751940407841057E+81</v>
      </c>
      <c r="HYM53" s="760">
        <f t="shared" si="130"/>
        <v>4.4034498620076292E+81</v>
      </c>
      <c r="HYN53" s="760">
        <f t="shared" si="130"/>
        <v>4.5355533578678582E+81</v>
      </c>
      <c r="HYO53" s="760">
        <f t="shared" si="130"/>
        <v>4.6716199586038942E+81</v>
      </c>
      <c r="HYP53" s="760">
        <f t="shared" si="130"/>
        <v>4.8117685573620112E+81</v>
      </c>
      <c r="HYQ53" s="760">
        <f t="shared" si="130"/>
        <v>4.956121614082872E+81</v>
      </c>
      <c r="HYR53" s="760">
        <f t="shared" si="130"/>
        <v>5.104805262505358E+81</v>
      </c>
      <c r="HYS53" s="760">
        <f t="shared" si="130"/>
        <v>5.2579494203805193E+81</v>
      </c>
      <c r="HYT53" s="760">
        <f t="shared" si="130"/>
        <v>5.4156879029919346E+81</v>
      </c>
      <c r="HYU53" s="760">
        <f t="shared" si="130"/>
        <v>5.5781585400816926E+81</v>
      </c>
      <c r="HYV53" s="760">
        <f t="shared" si="130"/>
        <v>5.7455032962841438E+81</v>
      </c>
      <c r="HYW53" s="760">
        <f t="shared" si="130"/>
        <v>5.9178683951726679E+81</v>
      </c>
      <c r="HYX53" s="760">
        <f t="shared" si="130"/>
        <v>6.0954044470278485E+81</v>
      </c>
      <c r="HYY53" s="760">
        <f t="shared" si="130"/>
        <v>6.2782665804386837E+81</v>
      </c>
      <c r="HYZ53" s="760">
        <f t="shared" si="130"/>
        <v>6.4666145778518441E+81</v>
      </c>
      <c r="HZA53" s="760">
        <f t="shared" si="130"/>
        <v>6.6606130151873996E+81</v>
      </c>
      <c r="HZB53" s="760">
        <f t="shared" si="130"/>
        <v>6.8604314056430214E+81</v>
      </c>
      <c r="HZC53" s="760">
        <f t="shared" ref="HZC53:IBN53" si="131">+HZB53*$C$53</f>
        <v>7.0662443478123126E+81</v>
      </c>
      <c r="HZD53" s="760">
        <f t="shared" si="131"/>
        <v>7.2782316782466825E+81</v>
      </c>
      <c r="HZE53" s="760">
        <f t="shared" si="131"/>
        <v>7.496578628594083E+81</v>
      </c>
      <c r="HZF53" s="760">
        <f t="shared" si="131"/>
        <v>7.7214759874519052E+81</v>
      </c>
      <c r="HZG53" s="760">
        <f t="shared" si="131"/>
        <v>7.9531202670754627E+81</v>
      </c>
      <c r="HZH53" s="760">
        <f t="shared" si="131"/>
        <v>8.1917138750877268E+81</v>
      </c>
      <c r="HZI53" s="760">
        <f t="shared" si="131"/>
        <v>8.4374652913403585E+81</v>
      </c>
      <c r="HZJ53" s="760">
        <f t="shared" si="131"/>
        <v>8.690589250080569E+81</v>
      </c>
      <c r="HZK53" s="760">
        <f t="shared" si="131"/>
        <v>8.9513069275829864E+81</v>
      </c>
      <c r="HZL53" s="760">
        <f t="shared" si="131"/>
        <v>9.2198461354104754E+81</v>
      </c>
      <c r="HZM53" s="760">
        <f t="shared" si="131"/>
        <v>9.4964415194727902E+81</v>
      </c>
      <c r="HZN53" s="760">
        <f t="shared" si="131"/>
        <v>9.7813347650569739E+81</v>
      </c>
      <c r="HZO53" s="760">
        <f t="shared" si="131"/>
        <v>1.0074774808008683E+82</v>
      </c>
      <c r="HZP53" s="760">
        <f t="shared" si="131"/>
        <v>1.0377018052248944E+82</v>
      </c>
      <c r="HZQ53" s="760">
        <f t="shared" si="131"/>
        <v>1.0688328593816413E+82</v>
      </c>
      <c r="HZR53" s="760">
        <f t="shared" si="131"/>
        <v>1.1008978451630905E+82</v>
      </c>
      <c r="HZS53" s="760">
        <f t="shared" si="131"/>
        <v>1.1339247805179832E+82</v>
      </c>
      <c r="HZT53" s="760">
        <f t="shared" si="131"/>
        <v>1.1679425239335227E+82</v>
      </c>
      <c r="HZU53" s="760">
        <f t="shared" si="131"/>
        <v>1.2029807996515284E+82</v>
      </c>
      <c r="HZV53" s="760">
        <f t="shared" si="131"/>
        <v>1.2390702236410744E+82</v>
      </c>
      <c r="HZW53" s="760">
        <f t="shared" si="131"/>
        <v>1.2762423303503067E+82</v>
      </c>
      <c r="HZX53" s="760">
        <f t="shared" si="131"/>
        <v>1.3145296002608159E+82</v>
      </c>
      <c r="HZY53" s="760">
        <f t="shared" si="131"/>
        <v>1.3539654882686404E+82</v>
      </c>
      <c r="HZZ53" s="760">
        <f t="shared" si="131"/>
        <v>1.3945844529166997E+82</v>
      </c>
      <c r="IAA53" s="760">
        <f t="shared" si="131"/>
        <v>1.4364219865042008E+82</v>
      </c>
      <c r="IAB53" s="760">
        <f t="shared" si="131"/>
        <v>1.4795146460993267E+82</v>
      </c>
      <c r="IAC53" s="760">
        <f t="shared" si="131"/>
        <v>1.5239000854823066E+82</v>
      </c>
      <c r="IAD53" s="760">
        <f t="shared" si="131"/>
        <v>1.569617088046776E+82</v>
      </c>
      <c r="IAE53" s="760">
        <f t="shared" si="131"/>
        <v>1.6167056006881791E+82</v>
      </c>
      <c r="IAF53" s="760">
        <f t="shared" si="131"/>
        <v>1.6652067687088247E+82</v>
      </c>
      <c r="IAG53" s="760">
        <f t="shared" si="131"/>
        <v>1.7151629717700896E+82</v>
      </c>
      <c r="IAH53" s="760">
        <f t="shared" si="131"/>
        <v>1.7666178609231925E+82</v>
      </c>
      <c r="IAI53" s="760">
        <f t="shared" si="131"/>
        <v>1.8196163967508885E+82</v>
      </c>
      <c r="IAJ53" s="760">
        <f t="shared" si="131"/>
        <v>1.8742048886534152E+82</v>
      </c>
      <c r="IAK53" s="760">
        <f t="shared" si="131"/>
        <v>1.9304310353130175E+82</v>
      </c>
      <c r="IAL53" s="760">
        <f t="shared" si="131"/>
        <v>1.9883439663724082E+82</v>
      </c>
      <c r="IAM53" s="760">
        <f t="shared" si="131"/>
        <v>2.0479942853635804E+82</v>
      </c>
      <c r="IAN53" s="760">
        <f t="shared" si="131"/>
        <v>2.1094341139244879E+82</v>
      </c>
      <c r="IAO53" s="760">
        <f t="shared" si="131"/>
        <v>2.1727171373422225E+82</v>
      </c>
      <c r="IAP53" s="760">
        <f t="shared" si="131"/>
        <v>2.2378986514624893E+82</v>
      </c>
      <c r="IAQ53" s="760">
        <f t="shared" si="131"/>
        <v>2.305035611006364E+82</v>
      </c>
      <c r="IAR53" s="760">
        <f t="shared" si="131"/>
        <v>2.3741866793365548E+82</v>
      </c>
      <c r="IAS53" s="760">
        <f t="shared" si="131"/>
        <v>2.4454122797166514E+82</v>
      </c>
      <c r="IAT53" s="760">
        <f t="shared" si="131"/>
        <v>2.5187746481081509E+82</v>
      </c>
      <c r="IAU53" s="760">
        <f t="shared" si="131"/>
        <v>2.5943378875513954E+82</v>
      </c>
      <c r="IAV53" s="760">
        <f t="shared" si="131"/>
        <v>2.6721680241779372E+82</v>
      </c>
      <c r="IAW53" s="760">
        <f t="shared" si="131"/>
        <v>2.7523330649032755E+82</v>
      </c>
      <c r="IAX53" s="760">
        <f t="shared" si="131"/>
        <v>2.8349030568503737E+82</v>
      </c>
      <c r="IAY53" s="760">
        <f t="shared" si="131"/>
        <v>2.9199501485558851E+82</v>
      </c>
      <c r="IAZ53" s="760">
        <f t="shared" si="131"/>
        <v>3.0075486530125619E+82</v>
      </c>
      <c r="IBA53" s="760">
        <f t="shared" si="131"/>
        <v>3.0977751126029388E+82</v>
      </c>
      <c r="IBB53" s="760">
        <f t="shared" si="131"/>
        <v>3.1907083659810271E+82</v>
      </c>
      <c r="IBC53" s="760">
        <f t="shared" si="131"/>
        <v>3.2864296169604581E+82</v>
      </c>
      <c r="IBD53" s="760">
        <f t="shared" si="131"/>
        <v>3.3850225054692722E+82</v>
      </c>
      <c r="IBE53" s="760">
        <f t="shared" si="131"/>
        <v>3.4865731806333506E+82</v>
      </c>
      <c r="IBF53" s="760">
        <f t="shared" si="131"/>
        <v>3.5911703760523509E+82</v>
      </c>
      <c r="IBG53" s="760">
        <f t="shared" si="131"/>
        <v>3.6989054873339214E+82</v>
      </c>
      <c r="IBH53" s="760">
        <f t="shared" si="131"/>
        <v>3.8098726519539389E+82</v>
      </c>
      <c r="IBI53" s="760">
        <f t="shared" si="131"/>
        <v>3.9241688315125569E+82</v>
      </c>
      <c r="IBJ53" s="760">
        <f t="shared" si="131"/>
        <v>4.0418938964579336E+82</v>
      </c>
      <c r="IBK53" s="760">
        <f t="shared" si="131"/>
        <v>4.1631507133516719E+82</v>
      </c>
      <c r="IBL53" s="760">
        <f t="shared" si="131"/>
        <v>4.2880452347522221E+82</v>
      </c>
      <c r="IBM53" s="760">
        <f t="shared" si="131"/>
        <v>4.4166865917947888E+82</v>
      </c>
      <c r="IBN53" s="760">
        <f t="shared" si="131"/>
        <v>4.5491871895486326E+82</v>
      </c>
      <c r="IBO53" s="760">
        <f t="shared" ref="IBO53:IDZ53" si="132">+IBN53*$C$53</f>
        <v>4.6856628052350919E+82</v>
      </c>
      <c r="IBP53" s="760">
        <f t="shared" si="132"/>
        <v>4.8262326893921451E+82</v>
      </c>
      <c r="IBQ53" s="760">
        <f t="shared" si="132"/>
        <v>4.9710196700739098E+82</v>
      </c>
      <c r="IBR53" s="760">
        <f t="shared" si="132"/>
        <v>5.1201502601761274E+82</v>
      </c>
      <c r="IBS53" s="760">
        <f t="shared" si="132"/>
        <v>5.2737547679814111E+82</v>
      </c>
      <c r="IBT53" s="760">
        <f t="shared" si="132"/>
        <v>5.4319674110208533E+82</v>
      </c>
      <c r="IBU53" s="760">
        <f t="shared" si="132"/>
        <v>5.5949264333514788E+82</v>
      </c>
      <c r="IBV53" s="760">
        <f t="shared" si="132"/>
        <v>5.7627742263520237E+82</v>
      </c>
      <c r="IBW53" s="760">
        <f t="shared" si="132"/>
        <v>5.9356574531425847E+82</v>
      </c>
      <c r="IBX53" s="760">
        <f t="shared" si="132"/>
        <v>6.1137271767368627E+82</v>
      </c>
      <c r="IBY53" s="760">
        <f t="shared" si="132"/>
        <v>6.2971389920389682E+82</v>
      </c>
      <c r="IBZ53" s="760">
        <f t="shared" si="132"/>
        <v>6.486053161800137E+82</v>
      </c>
      <c r="ICA53" s="760">
        <f t="shared" si="132"/>
        <v>6.6806347566541412E+82</v>
      </c>
      <c r="ICB53" s="760">
        <f t="shared" si="132"/>
        <v>6.8810537993537651E+82</v>
      </c>
      <c r="ICC53" s="760">
        <f t="shared" si="132"/>
        <v>7.0874854133343777E+82</v>
      </c>
      <c r="ICD53" s="760">
        <f t="shared" si="132"/>
        <v>7.3001099757344097E+82</v>
      </c>
      <c r="ICE53" s="760">
        <f t="shared" si="132"/>
        <v>7.5191132750064419E+82</v>
      </c>
      <c r="ICF53" s="760">
        <f t="shared" si="132"/>
        <v>7.7446866732566352E+82</v>
      </c>
      <c r="ICG53" s="760">
        <f t="shared" si="132"/>
        <v>7.9770272734543349E+82</v>
      </c>
      <c r="ICH53" s="760">
        <f t="shared" si="132"/>
        <v>8.2163380916579653E+82</v>
      </c>
      <c r="ICI53" s="760">
        <f t="shared" si="132"/>
        <v>8.462828234407705E+82</v>
      </c>
      <c r="ICJ53" s="760">
        <f t="shared" si="132"/>
        <v>8.716713081439937E+82</v>
      </c>
      <c r="ICK53" s="760">
        <f t="shared" si="132"/>
        <v>8.9782144738831349E+82</v>
      </c>
      <c r="ICL53" s="760">
        <f t="shared" si="132"/>
        <v>9.247560908099629E+82</v>
      </c>
      <c r="ICM53" s="760">
        <f t="shared" si="132"/>
        <v>9.5249877353426176E+82</v>
      </c>
      <c r="ICN53" s="760">
        <f t="shared" si="132"/>
        <v>9.8107373674028968E+82</v>
      </c>
      <c r="ICO53" s="760">
        <f t="shared" si="132"/>
        <v>1.0105059488424984E+83</v>
      </c>
      <c r="ICP53" s="760">
        <f t="shared" si="132"/>
        <v>1.0408211273077735E+83</v>
      </c>
      <c r="ICQ53" s="760">
        <f t="shared" si="132"/>
        <v>1.0720457611270067E+83</v>
      </c>
      <c r="ICR53" s="760">
        <f t="shared" si="132"/>
        <v>1.104207133960817E+83</v>
      </c>
      <c r="ICS53" s="760">
        <f t="shared" si="132"/>
        <v>1.1373333479796416E+83</v>
      </c>
      <c r="ICT53" s="760">
        <f t="shared" si="132"/>
        <v>1.1714533484190308E+83</v>
      </c>
      <c r="ICU53" s="760">
        <f t="shared" si="132"/>
        <v>1.2065969488716018E+83</v>
      </c>
      <c r="ICV53" s="760">
        <f t="shared" si="132"/>
        <v>1.2427948573377498E+83</v>
      </c>
      <c r="ICW53" s="760">
        <f t="shared" si="132"/>
        <v>1.2800787030578822E+83</v>
      </c>
      <c r="ICX53" s="760">
        <f t="shared" si="132"/>
        <v>1.3184810641496186E+83</v>
      </c>
      <c r="ICY53" s="760">
        <f t="shared" si="132"/>
        <v>1.3580354960741072E+83</v>
      </c>
      <c r="ICZ53" s="760">
        <f t="shared" si="132"/>
        <v>1.3987765609563305E+83</v>
      </c>
      <c r="IDA53" s="760">
        <f t="shared" si="132"/>
        <v>1.4407398577850206E+83</v>
      </c>
      <c r="IDB53" s="760">
        <f t="shared" si="132"/>
        <v>1.4839620535185713E+83</v>
      </c>
      <c r="IDC53" s="760">
        <f t="shared" si="132"/>
        <v>1.5284809151241285E+83</v>
      </c>
      <c r="IDD53" s="760">
        <f t="shared" si="132"/>
        <v>1.5743353425778525E+83</v>
      </c>
      <c r="IDE53" s="760">
        <f t="shared" si="132"/>
        <v>1.6215654028551881E+83</v>
      </c>
      <c r="IDF53" s="760">
        <f t="shared" si="132"/>
        <v>1.6702123649408438E+83</v>
      </c>
      <c r="IDG53" s="760">
        <f t="shared" si="132"/>
        <v>1.7203187358890692E+83</v>
      </c>
      <c r="IDH53" s="760">
        <f t="shared" si="132"/>
        <v>1.7719282979657414E+83</v>
      </c>
      <c r="IDI53" s="760">
        <f t="shared" si="132"/>
        <v>1.8250861469047138E+83</v>
      </c>
      <c r="IDJ53" s="760">
        <f t="shared" si="132"/>
        <v>1.8798387313118551E+83</v>
      </c>
      <c r="IDK53" s="760">
        <f t="shared" si="132"/>
        <v>1.9362338932512108E+83</v>
      </c>
      <c r="IDL53" s="760">
        <f t="shared" si="132"/>
        <v>1.994320910048747E+83</v>
      </c>
      <c r="IDM53" s="760">
        <f t="shared" si="132"/>
        <v>2.0541505373502096E+83</v>
      </c>
      <c r="IDN53" s="760">
        <f t="shared" si="132"/>
        <v>2.1157750534707158E+83</v>
      </c>
      <c r="IDO53" s="760">
        <f t="shared" si="132"/>
        <v>2.1792483050748374E+83</v>
      </c>
      <c r="IDP53" s="760">
        <f t="shared" si="132"/>
        <v>2.2446257542270826E+83</v>
      </c>
      <c r="IDQ53" s="760">
        <f t="shared" si="132"/>
        <v>2.3119645268538952E+83</v>
      </c>
      <c r="IDR53" s="760">
        <f t="shared" si="132"/>
        <v>2.381323462659512E+83</v>
      </c>
      <c r="IDS53" s="760">
        <f t="shared" si="132"/>
        <v>2.4527631665392974E+83</v>
      </c>
      <c r="IDT53" s="760">
        <f t="shared" si="132"/>
        <v>2.5263460615354764E+83</v>
      </c>
      <c r="IDU53" s="760">
        <f t="shared" si="132"/>
        <v>2.6021364433815408E+83</v>
      </c>
      <c r="IDV53" s="760">
        <f t="shared" si="132"/>
        <v>2.6802005366829872E+83</v>
      </c>
      <c r="IDW53" s="760">
        <f t="shared" si="132"/>
        <v>2.7606065527834769E+83</v>
      </c>
      <c r="IDX53" s="760">
        <f t="shared" si="132"/>
        <v>2.8434247493669811E+83</v>
      </c>
      <c r="IDY53" s="760">
        <f t="shared" si="132"/>
        <v>2.9287274918479907E+83</v>
      </c>
      <c r="IDZ53" s="760">
        <f t="shared" si="132"/>
        <v>3.0165893166034306E+83</v>
      </c>
      <c r="IEA53" s="760">
        <f t="shared" ref="IEA53:IGL53" si="133">+IDZ53*$C$53</f>
        <v>3.1070869961015335E+83</v>
      </c>
      <c r="IEB53" s="760">
        <f t="shared" si="133"/>
        <v>3.2002996059845796E+83</v>
      </c>
      <c r="IEC53" s="760">
        <f t="shared" si="133"/>
        <v>3.296308594164117E+83</v>
      </c>
      <c r="IED53" s="760">
        <f t="shared" si="133"/>
        <v>3.3951978519890404E+83</v>
      </c>
      <c r="IEE53" s="760">
        <f t="shared" si="133"/>
        <v>3.4970537875487116E+83</v>
      </c>
      <c r="IEF53" s="760">
        <f t="shared" si="133"/>
        <v>3.6019654011751733E+83</v>
      </c>
      <c r="IEG53" s="760">
        <f t="shared" si="133"/>
        <v>3.7100243632104287E+83</v>
      </c>
      <c r="IEH53" s="760">
        <f t="shared" si="133"/>
        <v>3.8213250941067418E+83</v>
      </c>
      <c r="IEI53" s="760">
        <f t="shared" si="133"/>
        <v>3.9359648469299442E+83</v>
      </c>
      <c r="IEJ53" s="760">
        <f t="shared" si="133"/>
        <v>4.0540437923378429E+83</v>
      </c>
      <c r="IEK53" s="760">
        <f t="shared" si="133"/>
        <v>4.175665106107978E+83</v>
      </c>
      <c r="IEL53" s="760">
        <f t="shared" si="133"/>
        <v>4.3009350592912177E+83</v>
      </c>
      <c r="IEM53" s="760">
        <f t="shared" si="133"/>
        <v>4.4299631110699546E+83</v>
      </c>
      <c r="IEN53" s="760">
        <f t="shared" si="133"/>
        <v>4.5628620044020533E+83</v>
      </c>
      <c r="IEO53" s="760">
        <f t="shared" si="133"/>
        <v>4.6997478645341152E+83</v>
      </c>
      <c r="IEP53" s="760">
        <f t="shared" si="133"/>
        <v>4.8407403004701385E+83</v>
      </c>
      <c r="IEQ53" s="760">
        <f t="shared" si="133"/>
        <v>4.9859625094842428E+83</v>
      </c>
      <c r="IER53" s="760">
        <f t="shared" si="133"/>
        <v>5.1355413847687703E+83</v>
      </c>
      <c r="IES53" s="760">
        <f t="shared" si="133"/>
        <v>5.2896076263118335E+83</v>
      </c>
      <c r="IET53" s="760">
        <f t="shared" si="133"/>
        <v>5.4482958551011884E+83</v>
      </c>
      <c r="IEU53" s="760">
        <f t="shared" si="133"/>
        <v>5.6117447307542242E+83</v>
      </c>
      <c r="IEV53" s="760">
        <f t="shared" si="133"/>
        <v>5.7800970726768513E+83</v>
      </c>
      <c r="IEW53" s="760">
        <f t="shared" si="133"/>
        <v>5.9534999848571568E+83</v>
      </c>
      <c r="IEX53" s="760">
        <f t="shared" si="133"/>
        <v>6.1321049844028712E+83</v>
      </c>
      <c r="IEY53" s="760">
        <f t="shared" si="133"/>
        <v>6.3160681339349574E+83</v>
      </c>
      <c r="IEZ53" s="760">
        <f t="shared" si="133"/>
        <v>6.5055501779530064E+83</v>
      </c>
      <c r="IFA53" s="760">
        <f t="shared" si="133"/>
        <v>6.7007166832915965E+83</v>
      </c>
      <c r="IFB53" s="760">
        <f t="shared" si="133"/>
        <v>6.9017381837903449E+83</v>
      </c>
      <c r="IFC53" s="760">
        <f t="shared" si="133"/>
        <v>7.1087903293040559E+83</v>
      </c>
      <c r="IFD53" s="760">
        <f t="shared" si="133"/>
        <v>7.3220540391831776E+83</v>
      </c>
      <c r="IFE53" s="760">
        <f t="shared" si="133"/>
        <v>7.5417156603586736E+83</v>
      </c>
      <c r="IFF53" s="760">
        <f t="shared" si="133"/>
        <v>7.7679671301694335E+83</v>
      </c>
      <c r="IFG53" s="760">
        <f t="shared" si="133"/>
        <v>8.0010061440745172E+83</v>
      </c>
      <c r="IFH53" s="760">
        <f t="shared" si="133"/>
        <v>8.2410363283967529E+83</v>
      </c>
      <c r="IFI53" s="760">
        <f t="shared" si="133"/>
        <v>8.4882674182486556E+83</v>
      </c>
      <c r="IFJ53" s="760">
        <f t="shared" si="133"/>
        <v>8.7429154407961156E+83</v>
      </c>
      <c r="IFK53" s="760">
        <f t="shared" si="133"/>
        <v>9.0052029040199998E+83</v>
      </c>
      <c r="IFL53" s="760">
        <f t="shared" si="133"/>
        <v>9.2753589911405997E+83</v>
      </c>
      <c r="IFM53" s="760">
        <f t="shared" si="133"/>
        <v>9.5536197608748183E+83</v>
      </c>
      <c r="IFN53" s="760">
        <f t="shared" si="133"/>
        <v>9.8402283537010637E+83</v>
      </c>
      <c r="IFO53" s="760">
        <f t="shared" si="133"/>
        <v>1.0135435204312096E+84</v>
      </c>
      <c r="IFP53" s="760">
        <f t="shared" si="133"/>
        <v>1.0439498260441459E+84</v>
      </c>
      <c r="IFQ53" s="760">
        <f t="shared" si="133"/>
        <v>1.0752683208254702E+84</v>
      </c>
      <c r="IFR53" s="760">
        <f t="shared" si="133"/>
        <v>1.1075263704502343E+84</v>
      </c>
      <c r="IFS53" s="760">
        <f t="shared" si="133"/>
        <v>1.1407521615637414E+84</v>
      </c>
      <c r="IFT53" s="760">
        <f t="shared" si="133"/>
        <v>1.1749747264106538E+84</v>
      </c>
      <c r="IFU53" s="760">
        <f t="shared" si="133"/>
        <v>1.2102239682029734E+84</v>
      </c>
      <c r="IFV53" s="760">
        <f t="shared" si="133"/>
        <v>1.2465306872490626E+84</v>
      </c>
      <c r="IFW53" s="760">
        <f t="shared" si="133"/>
        <v>1.2839266078665346E+84</v>
      </c>
      <c r="IFX53" s="760">
        <f t="shared" si="133"/>
        <v>1.3224444061025307E+84</v>
      </c>
      <c r="IFY53" s="760">
        <f t="shared" si="133"/>
        <v>1.3621177382856066E+84</v>
      </c>
      <c r="IFZ53" s="760">
        <f t="shared" si="133"/>
        <v>1.4029812704341748E+84</v>
      </c>
      <c r="IGA53" s="760">
        <f t="shared" si="133"/>
        <v>1.4450707085472001E+84</v>
      </c>
      <c r="IGB53" s="760">
        <f t="shared" si="133"/>
        <v>1.4884228298036163E+84</v>
      </c>
      <c r="IGC53" s="760">
        <f t="shared" si="133"/>
        <v>1.5330755146977247E+84</v>
      </c>
      <c r="IGD53" s="760">
        <f t="shared" si="133"/>
        <v>1.5790677801386565E+84</v>
      </c>
      <c r="IGE53" s="760">
        <f t="shared" si="133"/>
        <v>1.6264398135428162E+84</v>
      </c>
      <c r="IGF53" s="760">
        <f t="shared" si="133"/>
        <v>1.6752330079491008E+84</v>
      </c>
      <c r="IGG53" s="760">
        <f t="shared" si="133"/>
        <v>1.7254899981875737E+84</v>
      </c>
      <c r="IGH53" s="760">
        <f t="shared" si="133"/>
        <v>1.777254698133201E+84</v>
      </c>
      <c r="IGI53" s="760">
        <f t="shared" si="133"/>
        <v>1.8305723390771971E+84</v>
      </c>
      <c r="IGJ53" s="760">
        <f t="shared" si="133"/>
        <v>1.8854895092495131E+84</v>
      </c>
      <c r="IGK53" s="760">
        <f t="shared" si="133"/>
        <v>1.9420541945269985E+84</v>
      </c>
      <c r="IGL53" s="760">
        <f t="shared" si="133"/>
        <v>2.0003158203628086E+84</v>
      </c>
      <c r="IGM53" s="760">
        <f t="shared" ref="IGM53:IIX53" si="134">+IGL53*$C$53</f>
        <v>2.0603252949736929E+84</v>
      </c>
      <c r="IGN53" s="760">
        <f t="shared" si="134"/>
        <v>2.1221350538229036E+84</v>
      </c>
      <c r="IGO53" s="760">
        <f t="shared" si="134"/>
        <v>2.1857991054375906E+84</v>
      </c>
      <c r="IGP53" s="760">
        <f t="shared" si="134"/>
        <v>2.2513730786007182E+84</v>
      </c>
      <c r="IGQ53" s="760">
        <f t="shared" si="134"/>
        <v>2.3189142709587398E+84</v>
      </c>
      <c r="IGR53" s="760">
        <f t="shared" si="134"/>
        <v>2.3884816990875021E+84</v>
      </c>
      <c r="IGS53" s="760">
        <f t="shared" si="134"/>
        <v>2.4601361500601274E+84</v>
      </c>
      <c r="IGT53" s="760">
        <f t="shared" si="134"/>
        <v>2.5339402345619314E+84</v>
      </c>
      <c r="IGU53" s="760">
        <f t="shared" si="134"/>
        <v>2.6099584415987895E+84</v>
      </c>
      <c r="IGV53" s="760">
        <f t="shared" si="134"/>
        <v>2.6882571948467533E+84</v>
      </c>
      <c r="IGW53" s="760">
        <f t="shared" si="134"/>
        <v>2.768904910692156E+84</v>
      </c>
      <c r="IGX53" s="760">
        <f t="shared" si="134"/>
        <v>2.8519720580129207E+84</v>
      </c>
      <c r="IGY53" s="760">
        <f t="shared" si="134"/>
        <v>2.9375312197533083E+84</v>
      </c>
      <c r="IGZ53" s="760">
        <f t="shared" si="134"/>
        <v>3.0256571563459074E+84</v>
      </c>
      <c r="IHA53" s="760">
        <f t="shared" si="134"/>
        <v>3.1164268710362847E+84</v>
      </c>
      <c r="IHB53" s="760">
        <f t="shared" si="134"/>
        <v>3.2099196771673733E+84</v>
      </c>
      <c r="IHC53" s="760">
        <f t="shared" si="134"/>
        <v>3.3062172674823946E+84</v>
      </c>
      <c r="IHD53" s="760">
        <f t="shared" si="134"/>
        <v>3.4054037855068665E+84</v>
      </c>
      <c r="IHE53" s="760">
        <f t="shared" si="134"/>
        <v>3.5075658990720727E+84</v>
      </c>
      <c r="IHF53" s="760">
        <f t="shared" si="134"/>
        <v>3.6127928760442348E+84</v>
      </c>
      <c r="IHG53" s="760">
        <f t="shared" si="134"/>
        <v>3.7211766623255619E+84</v>
      </c>
      <c r="IHH53" s="760">
        <f t="shared" si="134"/>
        <v>3.8328119621953289E+84</v>
      </c>
      <c r="IHI53" s="760">
        <f t="shared" si="134"/>
        <v>3.9477963210611885E+84</v>
      </c>
      <c r="IHJ53" s="760">
        <f t="shared" si="134"/>
        <v>4.0662302106930241E+84</v>
      </c>
      <c r="IHK53" s="760">
        <f t="shared" si="134"/>
        <v>4.1882171170138146E+84</v>
      </c>
      <c r="IHL53" s="760">
        <f t="shared" si="134"/>
        <v>4.3138636305242294E+84</v>
      </c>
      <c r="IHM53" s="760">
        <f t="shared" si="134"/>
        <v>4.4432795394399564E+84</v>
      </c>
      <c r="IHN53" s="760">
        <f t="shared" si="134"/>
        <v>4.5765779256231549E+84</v>
      </c>
      <c r="IHO53" s="760">
        <f t="shared" si="134"/>
        <v>4.7138752633918493E+84</v>
      </c>
      <c r="IHP53" s="760">
        <f t="shared" si="134"/>
        <v>4.8552915212936049E+84</v>
      </c>
      <c r="IHQ53" s="760">
        <f t="shared" si="134"/>
        <v>5.0009502669324134E+84</v>
      </c>
      <c r="IHR53" s="760">
        <f t="shared" si="134"/>
        <v>5.1509787749403859E+84</v>
      </c>
      <c r="IHS53" s="760">
        <f t="shared" si="134"/>
        <v>5.3055081381885974E+84</v>
      </c>
      <c r="IHT53" s="760">
        <f t="shared" si="134"/>
        <v>5.4646733823342553E+84</v>
      </c>
      <c r="IHU53" s="760">
        <f t="shared" si="134"/>
        <v>5.6286135838042829E+84</v>
      </c>
      <c r="IHV53" s="760">
        <f t="shared" si="134"/>
        <v>5.7974719913184113E+84</v>
      </c>
      <c r="IHW53" s="760">
        <f t="shared" si="134"/>
        <v>5.9713961510579642E+84</v>
      </c>
      <c r="IHX53" s="760">
        <f t="shared" si="134"/>
        <v>6.1505380355897037E+84</v>
      </c>
      <c r="IHY53" s="760">
        <f t="shared" si="134"/>
        <v>6.3350541766573951E+84</v>
      </c>
      <c r="IHZ53" s="760">
        <f t="shared" si="134"/>
        <v>6.5251058019571168E+84</v>
      </c>
      <c r="IIA53" s="760">
        <f t="shared" si="134"/>
        <v>6.7208589760158301E+84</v>
      </c>
      <c r="IIB53" s="760">
        <f t="shared" si="134"/>
        <v>6.9224847452963051E+84</v>
      </c>
      <c r="IIC53" s="760">
        <f t="shared" si="134"/>
        <v>7.1301592876551943E+84</v>
      </c>
      <c r="IID53" s="760">
        <f t="shared" si="134"/>
        <v>7.34406406628485E+84</v>
      </c>
      <c r="IIE53" s="760">
        <f t="shared" si="134"/>
        <v>7.5643859882733955E+84</v>
      </c>
      <c r="IIF53" s="760">
        <f t="shared" si="134"/>
        <v>7.7913175679215983E+84</v>
      </c>
      <c r="IIG53" s="760">
        <f t="shared" si="134"/>
        <v>8.0250570949592472E+84</v>
      </c>
      <c r="IIH53" s="760">
        <f t="shared" si="134"/>
        <v>8.2658088078080252E+84</v>
      </c>
      <c r="III53" s="760">
        <f t="shared" si="134"/>
        <v>8.5137830720422668E+84</v>
      </c>
      <c r="IIJ53" s="760">
        <f t="shared" si="134"/>
        <v>8.7691965642035359E+84</v>
      </c>
      <c r="IIK53" s="760">
        <f t="shared" si="134"/>
        <v>9.0322724611296421E+84</v>
      </c>
      <c r="IIL53" s="760">
        <f t="shared" si="134"/>
        <v>9.3032406349635321E+84</v>
      </c>
      <c r="IIM53" s="760">
        <f t="shared" si="134"/>
        <v>9.5823378540124377E+84</v>
      </c>
      <c r="IIN53" s="760">
        <f t="shared" si="134"/>
        <v>9.8698079896328108E+84</v>
      </c>
      <c r="IIO53" s="760">
        <f t="shared" si="134"/>
        <v>1.0165902229321796E+85</v>
      </c>
      <c r="IIP53" s="760">
        <f t="shared" si="134"/>
        <v>1.0470879296201449E+85</v>
      </c>
      <c r="IIQ53" s="760">
        <f t="shared" si="134"/>
        <v>1.0785005675087493E+85</v>
      </c>
      <c r="IIR53" s="760">
        <f t="shared" si="134"/>
        <v>1.1108555845340118E+85</v>
      </c>
      <c r="IIS53" s="760">
        <f t="shared" si="134"/>
        <v>1.1441812520700322E+85</v>
      </c>
      <c r="IIT53" s="760">
        <f t="shared" si="134"/>
        <v>1.1785066896321332E+85</v>
      </c>
      <c r="IIU53" s="760">
        <f t="shared" si="134"/>
        <v>1.2138618903210973E+85</v>
      </c>
      <c r="IIV53" s="760">
        <f t="shared" si="134"/>
        <v>1.2502777470307303E+85</v>
      </c>
      <c r="IIW53" s="760">
        <f t="shared" si="134"/>
        <v>1.2877860794416523E+85</v>
      </c>
      <c r="IIX53" s="760">
        <f t="shared" si="134"/>
        <v>1.3264196618249019E+85</v>
      </c>
      <c r="IIY53" s="760">
        <f t="shared" ref="IIY53:ILJ53" si="135">+IIX53*$C$53</f>
        <v>1.366212251679649E+85</v>
      </c>
      <c r="IIZ53" s="760">
        <f t="shared" si="135"/>
        <v>1.4071986192300385E+85</v>
      </c>
      <c r="IJA53" s="760">
        <f t="shared" si="135"/>
        <v>1.4494145778069397E+85</v>
      </c>
      <c r="IJB53" s="760">
        <f t="shared" si="135"/>
        <v>1.4928970151411479E+85</v>
      </c>
      <c r="IJC53" s="760">
        <f t="shared" si="135"/>
        <v>1.5376839255953825E+85</v>
      </c>
      <c r="IJD53" s="760">
        <f t="shared" si="135"/>
        <v>1.5838144433632439E+85</v>
      </c>
      <c r="IJE53" s="760">
        <f t="shared" si="135"/>
        <v>1.6313288766641413E+85</v>
      </c>
      <c r="IJF53" s="760">
        <f t="shared" si="135"/>
        <v>1.6802687429640655E+85</v>
      </c>
      <c r="IJG53" s="760">
        <f t="shared" si="135"/>
        <v>1.7306768052529875E+85</v>
      </c>
      <c r="IJH53" s="760">
        <f t="shared" si="135"/>
        <v>1.782597109410577E+85</v>
      </c>
      <c r="IJI53" s="760">
        <f t="shared" si="135"/>
        <v>1.8360750226928944E+85</v>
      </c>
      <c r="IJJ53" s="760">
        <f t="shared" si="135"/>
        <v>1.8911572733736813E+85</v>
      </c>
      <c r="IJK53" s="760">
        <f t="shared" si="135"/>
        <v>1.9478919915748919E+85</v>
      </c>
      <c r="IJL53" s="760">
        <f t="shared" si="135"/>
        <v>2.0063287513221386E+85</v>
      </c>
      <c r="IJM53" s="760">
        <f t="shared" si="135"/>
        <v>2.0665186138618029E+85</v>
      </c>
      <c r="IJN53" s="760">
        <f t="shared" si="135"/>
        <v>2.1285141722776569E+85</v>
      </c>
      <c r="IJO53" s="760">
        <f t="shared" si="135"/>
        <v>2.1923695974459866E+85</v>
      </c>
      <c r="IJP53" s="760">
        <f t="shared" si="135"/>
        <v>2.2581406853693663E+85</v>
      </c>
      <c r="IJQ53" s="760">
        <f t="shared" si="135"/>
        <v>2.3258849059304473E+85</v>
      </c>
      <c r="IJR53" s="760">
        <f t="shared" si="135"/>
        <v>2.3956614531083609E+85</v>
      </c>
      <c r="IJS53" s="760">
        <f t="shared" si="135"/>
        <v>2.4675312967016117E+85</v>
      </c>
      <c r="IJT53" s="760">
        <f t="shared" si="135"/>
        <v>2.5415572356026601E+85</v>
      </c>
      <c r="IJU53" s="760">
        <f t="shared" si="135"/>
        <v>2.61780395267074E+85</v>
      </c>
      <c r="IJV53" s="760">
        <f t="shared" si="135"/>
        <v>2.6963380712508623E+85</v>
      </c>
      <c r="IJW53" s="760">
        <f t="shared" si="135"/>
        <v>2.7772282133883882E+85</v>
      </c>
      <c r="IJX53" s="760">
        <f t="shared" si="135"/>
        <v>2.86054505979004E+85</v>
      </c>
      <c r="IJY53" s="760">
        <f t="shared" si="135"/>
        <v>2.9463614115837412E+85</v>
      </c>
      <c r="IJZ53" s="760">
        <f t="shared" si="135"/>
        <v>3.0347522539312535E+85</v>
      </c>
      <c r="IKA53" s="760">
        <f t="shared" si="135"/>
        <v>3.1257948215491912E+85</v>
      </c>
      <c r="IKB53" s="760">
        <f t="shared" si="135"/>
        <v>3.219568666195667E+85</v>
      </c>
      <c r="IKC53" s="760">
        <f t="shared" si="135"/>
        <v>3.3161557261815372E+85</v>
      </c>
      <c r="IKD53" s="760">
        <f t="shared" si="135"/>
        <v>3.4156403979669833E+85</v>
      </c>
      <c r="IKE53" s="760">
        <f t="shared" si="135"/>
        <v>3.5181096099059929E+85</v>
      </c>
      <c r="IKF53" s="760">
        <f t="shared" si="135"/>
        <v>3.623652898203173E+85</v>
      </c>
      <c r="IKG53" s="760">
        <f t="shared" si="135"/>
        <v>3.7323624851492685E+85</v>
      </c>
      <c r="IKH53" s="760">
        <f t="shared" si="135"/>
        <v>3.8443333597037467E+85</v>
      </c>
      <c r="IKI53" s="760">
        <f t="shared" si="135"/>
        <v>3.959663360494859E+85</v>
      </c>
      <c r="IKJ53" s="760">
        <f t="shared" si="135"/>
        <v>4.0784532613097048E+85</v>
      </c>
      <c r="IKK53" s="760">
        <f t="shared" si="135"/>
        <v>4.2008068591489964E+85</v>
      </c>
      <c r="IKL53" s="760">
        <f t="shared" si="135"/>
        <v>4.3268310649234662E+85</v>
      </c>
      <c r="IKM53" s="760">
        <f t="shared" si="135"/>
        <v>4.4566359968711704E+85</v>
      </c>
      <c r="IKN53" s="760">
        <f t="shared" si="135"/>
        <v>4.5903350767773055E+85</v>
      </c>
      <c r="IKO53" s="760">
        <f t="shared" si="135"/>
        <v>4.7280451290806247E+85</v>
      </c>
      <c r="IKP53" s="760">
        <f t="shared" si="135"/>
        <v>4.8698864829530435E+85</v>
      </c>
      <c r="IKQ53" s="760">
        <f t="shared" si="135"/>
        <v>5.0159830774416351E+85</v>
      </c>
      <c r="IKR53" s="760">
        <f t="shared" si="135"/>
        <v>5.1664625697648843E+85</v>
      </c>
      <c r="IKS53" s="760">
        <f t="shared" si="135"/>
        <v>5.3214564468578311E+85</v>
      </c>
      <c r="IKT53" s="760">
        <f t="shared" si="135"/>
        <v>5.4811001402635665E+85</v>
      </c>
      <c r="IKU53" s="760">
        <f t="shared" si="135"/>
        <v>5.6455331444714735E+85</v>
      </c>
      <c r="IKV53" s="760">
        <f t="shared" si="135"/>
        <v>5.8148991388056178E+85</v>
      </c>
      <c r="IKW53" s="760">
        <f t="shared" si="135"/>
        <v>5.9893461129697866E+85</v>
      </c>
      <c r="IKX53" s="760">
        <f t="shared" si="135"/>
        <v>6.1690264963588806E+85</v>
      </c>
      <c r="IKY53" s="760">
        <f t="shared" si="135"/>
        <v>6.3540972912496471E+85</v>
      </c>
      <c r="IKZ53" s="760">
        <f t="shared" si="135"/>
        <v>6.5447202099871374E+85</v>
      </c>
      <c r="ILA53" s="760">
        <f t="shared" si="135"/>
        <v>6.7410618162867518E+85</v>
      </c>
      <c r="ILB53" s="760">
        <f t="shared" si="135"/>
        <v>6.943293670775354E+85</v>
      </c>
      <c r="ILC53" s="760">
        <f t="shared" si="135"/>
        <v>7.151592480898615E+85</v>
      </c>
      <c r="ILD53" s="760">
        <f t="shared" si="135"/>
        <v>7.3661402553255731E+85</v>
      </c>
      <c r="ILE53" s="760">
        <f t="shared" si="135"/>
        <v>7.5871244629853402E+85</v>
      </c>
      <c r="ILF53" s="760">
        <f t="shared" si="135"/>
        <v>7.8147381968749008E+85</v>
      </c>
      <c r="ILG53" s="760">
        <f t="shared" si="135"/>
        <v>8.0491803427811475E+85</v>
      </c>
      <c r="ILH53" s="760">
        <f t="shared" si="135"/>
        <v>8.2906557530645826E+85</v>
      </c>
      <c r="ILI53" s="760">
        <f t="shared" si="135"/>
        <v>8.53937542565652E+85</v>
      </c>
      <c r="ILJ53" s="760">
        <f t="shared" si="135"/>
        <v>8.7955566884262152E+85</v>
      </c>
      <c r="ILK53" s="760">
        <f t="shared" ref="ILK53:INV53" si="136">+ILJ53*$C$53</f>
        <v>9.0594233890790023E+85</v>
      </c>
      <c r="ILL53" s="760">
        <f t="shared" si="136"/>
        <v>9.3312060907513729E+85</v>
      </c>
      <c r="ILM53" s="760">
        <f t="shared" si="136"/>
        <v>9.6111422734739137E+85</v>
      </c>
      <c r="ILN53" s="760">
        <f t="shared" si="136"/>
        <v>9.899476541678132E+85</v>
      </c>
      <c r="ILO53" s="760">
        <f t="shared" si="136"/>
        <v>1.0196460837928476E+86</v>
      </c>
      <c r="ILP53" s="760">
        <f t="shared" si="136"/>
        <v>1.0502354663066331E+86</v>
      </c>
      <c r="ILQ53" s="760">
        <f t="shared" si="136"/>
        <v>1.0817425302958321E+86</v>
      </c>
      <c r="ILR53" s="760">
        <f t="shared" si="136"/>
        <v>1.114194806204707E+86</v>
      </c>
      <c r="ILS53" s="760">
        <f t="shared" si="136"/>
        <v>1.1476206503908483E+86</v>
      </c>
      <c r="ILT53" s="760">
        <f t="shared" si="136"/>
        <v>1.1820492699025738E+86</v>
      </c>
      <c r="ILU53" s="760">
        <f t="shared" si="136"/>
        <v>1.217510747999651E+86</v>
      </c>
      <c r="ILV53" s="760">
        <f t="shared" si="136"/>
        <v>1.2540360704396406E+86</v>
      </c>
      <c r="ILW53" s="760">
        <f t="shared" si="136"/>
        <v>1.2916571525528299E+86</v>
      </c>
      <c r="ILX53" s="760">
        <f t="shared" si="136"/>
        <v>1.3304068671294149E+86</v>
      </c>
      <c r="ILY53" s="760">
        <f t="shared" si="136"/>
        <v>1.3703190731432974E+86</v>
      </c>
      <c r="ILZ53" s="760">
        <f t="shared" si="136"/>
        <v>1.4114286453375965E+86</v>
      </c>
      <c r="IMA53" s="760">
        <f t="shared" si="136"/>
        <v>1.4537715046977244E+86</v>
      </c>
      <c r="IMB53" s="760">
        <f t="shared" si="136"/>
        <v>1.497384649838656E+86</v>
      </c>
      <c r="IMC53" s="760">
        <f t="shared" si="136"/>
        <v>1.5423061893338157E+86</v>
      </c>
      <c r="IMD53" s="760">
        <f t="shared" si="136"/>
        <v>1.5885753750138301E+86</v>
      </c>
      <c r="IME53" s="760">
        <f t="shared" si="136"/>
        <v>1.6362326362642451E+86</v>
      </c>
      <c r="IMF53" s="760">
        <f t="shared" si="136"/>
        <v>1.6853196153521724E+86</v>
      </c>
      <c r="IMG53" s="760">
        <f t="shared" si="136"/>
        <v>1.7358792038127378E+86</v>
      </c>
      <c r="IMH53" s="760">
        <f t="shared" si="136"/>
        <v>1.78795557992712E+86</v>
      </c>
      <c r="IMI53" s="760">
        <f t="shared" si="136"/>
        <v>1.8415942473249336E+86</v>
      </c>
      <c r="IMJ53" s="760">
        <f t="shared" si="136"/>
        <v>1.8968420747446818E+86</v>
      </c>
      <c r="IMK53" s="760">
        <f t="shared" si="136"/>
        <v>1.9537473369870222E+86</v>
      </c>
      <c r="IML53" s="760">
        <f t="shared" si="136"/>
        <v>2.0123597570966331E+86</v>
      </c>
      <c r="IMM53" s="760">
        <f t="shared" si="136"/>
        <v>2.0727305498095322E+86</v>
      </c>
      <c r="IMN53" s="760">
        <f t="shared" si="136"/>
        <v>2.1349124663038182E+86</v>
      </c>
      <c r="IMO53" s="760">
        <f t="shared" si="136"/>
        <v>2.1989598402929328E+86</v>
      </c>
      <c r="IMP53" s="760">
        <f t="shared" si="136"/>
        <v>2.2649286355017207E+86</v>
      </c>
      <c r="IMQ53" s="760">
        <f t="shared" si="136"/>
        <v>2.3328764945667725E+86</v>
      </c>
      <c r="IMR53" s="760">
        <f t="shared" si="136"/>
        <v>2.4028627894037756E+86</v>
      </c>
      <c r="IMS53" s="760">
        <f t="shared" si="136"/>
        <v>2.474948673085889E+86</v>
      </c>
      <c r="IMT53" s="760">
        <f t="shared" si="136"/>
        <v>2.549197133278466E+86</v>
      </c>
      <c r="IMU53" s="760">
        <f t="shared" si="136"/>
        <v>2.62567304727682E+86</v>
      </c>
      <c r="IMV53" s="760">
        <f t="shared" si="136"/>
        <v>2.7044432386951244E+86</v>
      </c>
      <c r="IMW53" s="760">
        <f t="shared" si="136"/>
        <v>2.7855765358559783E+86</v>
      </c>
      <c r="IMX53" s="760">
        <f t="shared" si="136"/>
        <v>2.869143831931658E+86</v>
      </c>
      <c r="IMY53" s="760">
        <f t="shared" si="136"/>
        <v>2.9552181468896075E+86</v>
      </c>
      <c r="IMZ53" s="760">
        <f t="shared" si="136"/>
        <v>3.043874691296296E+86</v>
      </c>
      <c r="INA53" s="760">
        <f t="shared" si="136"/>
        <v>3.1351909320351849E+86</v>
      </c>
      <c r="INB53" s="760">
        <f t="shared" si="136"/>
        <v>3.2292466599962407E+86</v>
      </c>
      <c r="INC53" s="760">
        <f t="shared" si="136"/>
        <v>3.326124059796128E+86</v>
      </c>
      <c r="IND53" s="760">
        <f t="shared" si="136"/>
        <v>3.4259077815900119E+86</v>
      </c>
      <c r="INE53" s="760">
        <f t="shared" si="136"/>
        <v>3.5286850150377124E+86</v>
      </c>
      <c r="INF53" s="760">
        <f t="shared" si="136"/>
        <v>3.6345455654888438E+86</v>
      </c>
      <c r="ING53" s="760">
        <f t="shared" si="136"/>
        <v>3.7435819324535094E+86</v>
      </c>
      <c r="INH53" s="760">
        <f t="shared" si="136"/>
        <v>3.855889390427115E+86</v>
      </c>
      <c r="INI53" s="760">
        <f t="shared" si="136"/>
        <v>3.9715660721399283E+86</v>
      </c>
      <c r="INJ53" s="760">
        <f t="shared" si="136"/>
        <v>4.090713054304126E+86</v>
      </c>
      <c r="INK53" s="760">
        <f t="shared" si="136"/>
        <v>4.2134344459332497E+86</v>
      </c>
      <c r="INL53" s="760">
        <f t="shared" si="136"/>
        <v>4.3398374793112476E+86</v>
      </c>
      <c r="INM53" s="760">
        <f t="shared" si="136"/>
        <v>4.4700326036905853E+86</v>
      </c>
      <c r="INN53" s="760">
        <f t="shared" si="136"/>
        <v>4.604133581801303E+86</v>
      </c>
      <c r="INO53" s="760">
        <f t="shared" si="136"/>
        <v>4.7422575892553424E+86</v>
      </c>
      <c r="INP53" s="760">
        <f t="shared" si="136"/>
        <v>4.8845253169330028E+86</v>
      </c>
      <c r="INQ53" s="760">
        <f t="shared" si="136"/>
        <v>5.0310610764409931E+86</v>
      </c>
      <c r="INR53" s="760">
        <f t="shared" si="136"/>
        <v>5.1819929087342225E+86</v>
      </c>
      <c r="INS53" s="760">
        <f t="shared" si="136"/>
        <v>5.3374526959962496E+86</v>
      </c>
      <c r="INT53" s="760">
        <f t="shared" si="136"/>
        <v>5.4975762768761377E+86</v>
      </c>
      <c r="INU53" s="760">
        <f t="shared" si="136"/>
        <v>5.662503565182422E+86</v>
      </c>
      <c r="INV53" s="760">
        <f t="shared" si="136"/>
        <v>5.8323786721378953E+86</v>
      </c>
      <c r="INW53" s="760">
        <f t="shared" ref="INW53:IQH53" si="137">+INV53*$C$53</f>
        <v>6.0073500323020324E+86</v>
      </c>
      <c r="INX53" s="760">
        <f t="shared" si="137"/>
        <v>6.187570533271094E+86</v>
      </c>
      <c r="INY53" s="760">
        <f t="shared" si="137"/>
        <v>6.3731976492692268E+86</v>
      </c>
      <c r="INZ53" s="760">
        <f t="shared" si="137"/>
        <v>6.5643935787473038E+86</v>
      </c>
      <c r="IOA53" s="760">
        <f t="shared" si="137"/>
        <v>6.7613253861097228E+86</v>
      </c>
      <c r="IOB53" s="760">
        <f t="shared" si="137"/>
        <v>6.9641651476930142E+86</v>
      </c>
      <c r="IOC53" s="760">
        <f t="shared" si="137"/>
        <v>7.1730901021238043E+86</v>
      </c>
      <c r="IOD53" s="760">
        <f t="shared" si="137"/>
        <v>7.388282805187519E+86</v>
      </c>
      <c r="IOE53" s="760">
        <f t="shared" si="137"/>
        <v>7.6099312893431442E+86</v>
      </c>
      <c r="IOF53" s="760">
        <f t="shared" si="137"/>
        <v>7.8382292280234391E+86</v>
      </c>
      <c r="IOG53" s="760">
        <f t="shared" si="137"/>
        <v>8.0733761048641426E+86</v>
      </c>
      <c r="IOH53" s="760">
        <f t="shared" si="137"/>
        <v>8.3155773880100667E+86</v>
      </c>
      <c r="IOI53" s="760">
        <f t="shared" si="137"/>
        <v>8.565044709650369E+86</v>
      </c>
      <c r="IOJ53" s="760">
        <f t="shared" si="137"/>
        <v>8.8219960509398804E+86</v>
      </c>
      <c r="IOK53" s="760">
        <f t="shared" si="137"/>
        <v>9.0866559324680774E+86</v>
      </c>
      <c r="IOL53" s="760">
        <f t="shared" si="137"/>
        <v>9.3592556104421204E+86</v>
      </c>
      <c r="IOM53" s="760">
        <f t="shared" si="137"/>
        <v>9.6400332787553843E+86</v>
      </c>
      <c r="ION53" s="760">
        <f t="shared" si="137"/>
        <v>9.9292342771180455E+86</v>
      </c>
      <c r="IOO53" s="760">
        <f t="shared" si="137"/>
        <v>1.0227111305431588E+87</v>
      </c>
      <c r="IOP53" s="760">
        <f t="shared" si="137"/>
        <v>1.0533924644594537E+87</v>
      </c>
      <c r="IOQ53" s="760">
        <f t="shared" si="137"/>
        <v>1.0849942383932374E+87</v>
      </c>
      <c r="IOR53" s="760">
        <f t="shared" si="137"/>
        <v>1.1175440655450346E+87</v>
      </c>
      <c r="IOS53" s="760">
        <f t="shared" si="137"/>
        <v>1.1510703875113857E+87</v>
      </c>
      <c r="IOT53" s="760">
        <f t="shared" si="137"/>
        <v>1.1856024991367272E+87</v>
      </c>
      <c r="IOU53" s="760">
        <f t="shared" si="137"/>
        <v>1.2211705741108291E+87</v>
      </c>
      <c r="IOV53" s="760">
        <f t="shared" si="137"/>
        <v>1.257805691334154E+87</v>
      </c>
      <c r="IOW53" s="760">
        <f t="shared" si="137"/>
        <v>1.2955398620741786E+87</v>
      </c>
      <c r="IOX53" s="760">
        <f t="shared" si="137"/>
        <v>1.334406057936404E+87</v>
      </c>
      <c r="IOY53" s="760">
        <f t="shared" si="137"/>
        <v>1.3744382396744962E+87</v>
      </c>
      <c r="IOZ53" s="760">
        <f t="shared" si="137"/>
        <v>1.415671386864731E+87</v>
      </c>
      <c r="IPA53" s="760">
        <f t="shared" si="137"/>
        <v>1.4581415284706729E+87</v>
      </c>
      <c r="IPB53" s="760">
        <f t="shared" si="137"/>
        <v>1.5018857743247931E+87</v>
      </c>
      <c r="IPC53" s="760">
        <f t="shared" si="137"/>
        <v>1.5469423475545368E+87</v>
      </c>
      <c r="IPD53" s="760">
        <f t="shared" si="137"/>
        <v>1.593350617981173E+87</v>
      </c>
      <c r="IPE53" s="760">
        <f t="shared" si="137"/>
        <v>1.6411511365206083E+87</v>
      </c>
      <c r="IPF53" s="760">
        <f t="shared" si="137"/>
        <v>1.6903856706162267E+87</v>
      </c>
      <c r="IPG53" s="760">
        <f t="shared" si="137"/>
        <v>1.7410972407347136E+87</v>
      </c>
      <c r="IPH53" s="760">
        <f t="shared" si="137"/>
        <v>1.793330157956755E+87</v>
      </c>
      <c r="IPI53" s="760">
        <f t="shared" si="137"/>
        <v>1.8471300626954577E+87</v>
      </c>
      <c r="IPJ53" s="760">
        <f t="shared" si="137"/>
        <v>1.9025439645763215E+87</v>
      </c>
      <c r="IPK53" s="760">
        <f t="shared" si="137"/>
        <v>1.9596202835136112E+87</v>
      </c>
      <c r="IPL53" s="760">
        <f t="shared" si="137"/>
        <v>2.0184088920190195E+87</v>
      </c>
      <c r="IPM53" s="760">
        <f t="shared" si="137"/>
        <v>2.07896115877959E+87</v>
      </c>
      <c r="IPN53" s="760">
        <f t="shared" si="137"/>
        <v>2.1413299935429779E+87</v>
      </c>
      <c r="IPO53" s="760">
        <f t="shared" si="137"/>
        <v>2.2055698933492674E+87</v>
      </c>
      <c r="IPP53" s="760">
        <f t="shared" si="137"/>
        <v>2.2717369901497456E+87</v>
      </c>
      <c r="IPQ53" s="760">
        <f t="shared" si="137"/>
        <v>2.3398890998542381E+87</v>
      </c>
      <c r="IPR53" s="760">
        <f t="shared" si="137"/>
        <v>2.4100857728498652E+87</v>
      </c>
      <c r="IPS53" s="760">
        <f t="shared" si="137"/>
        <v>2.482388346035361E+87</v>
      </c>
      <c r="IPT53" s="760">
        <f t="shared" si="137"/>
        <v>2.5568599964164221E+87</v>
      </c>
      <c r="IPU53" s="760">
        <f t="shared" si="137"/>
        <v>2.6335657963089149E+87</v>
      </c>
      <c r="IPV53" s="760">
        <f t="shared" si="137"/>
        <v>2.7125727701981824E+87</v>
      </c>
      <c r="IPW53" s="760">
        <f t="shared" si="137"/>
        <v>2.7939499533041278E+87</v>
      </c>
      <c r="IPX53" s="760">
        <f t="shared" si="137"/>
        <v>2.8777684519032516E+87</v>
      </c>
      <c r="IPY53" s="760">
        <f t="shared" si="137"/>
        <v>2.9641015054603494E+87</v>
      </c>
      <c r="IPZ53" s="760">
        <f t="shared" si="137"/>
        <v>3.0530245506241601E+87</v>
      </c>
      <c r="IQA53" s="760">
        <f t="shared" si="137"/>
        <v>3.1446152871428852E+87</v>
      </c>
      <c r="IQB53" s="760">
        <f t="shared" si="137"/>
        <v>3.2389537457571719E+87</v>
      </c>
      <c r="IQC53" s="760">
        <f t="shared" si="137"/>
        <v>3.3361223581298872E+87</v>
      </c>
      <c r="IQD53" s="760">
        <f t="shared" si="137"/>
        <v>3.436206028873784E+87</v>
      </c>
      <c r="IQE53" s="760">
        <f t="shared" si="137"/>
        <v>3.5392922097399975E+87</v>
      </c>
      <c r="IQF53" s="760">
        <f t="shared" si="137"/>
        <v>3.6454709760321977E+87</v>
      </c>
      <c r="IQG53" s="760">
        <f t="shared" si="137"/>
        <v>3.7548351053131637E+87</v>
      </c>
      <c r="IQH53" s="760">
        <f t="shared" si="137"/>
        <v>3.8674801584725587E+87</v>
      </c>
      <c r="IQI53" s="760">
        <f t="shared" ref="IQI53:IST53" si="138">+IQH53*$C$53</f>
        <v>3.9835045632267354E+87</v>
      </c>
      <c r="IQJ53" s="760">
        <f t="shared" si="138"/>
        <v>4.1030097001235378E+87</v>
      </c>
      <c r="IQK53" s="760">
        <f t="shared" si="138"/>
        <v>4.2260999911272438E+87</v>
      </c>
      <c r="IQL53" s="760">
        <f t="shared" si="138"/>
        <v>4.3528829908610613E+87</v>
      </c>
      <c r="IQM53" s="760">
        <f t="shared" si="138"/>
        <v>4.4834694805868928E+87</v>
      </c>
      <c r="IQN53" s="760">
        <f t="shared" si="138"/>
        <v>4.6179735650044996E+87</v>
      </c>
      <c r="IQO53" s="760">
        <f t="shared" si="138"/>
        <v>4.7565127719546349E+87</v>
      </c>
      <c r="IQP53" s="760">
        <f t="shared" si="138"/>
        <v>4.8992081551132738E+87</v>
      </c>
      <c r="IQQ53" s="760">
        <f t="shared" si="138"/>
        <v>5.0461843997666721E+87</v>
      </c>
      <c r="IQR53" s="760">
        <f t="shared" si="138"/>
        <v>5.1975699317596724E+87</v>
      </c>
      <c r="IQS53" s="760">
        <f t="shared" si="138"/>
        <v>5.3534970297124628E+87</v>
      </c>
      <c r="IQT53" s="760">
        <f t="shared" si="138"/>
        <v>5.5141019406038373E+87</v>
      </c>
      <c r="IQU53" s="760">
        <f t="shared" si="138"/>
        <v>5.6795249988219526E+87</v>
      </c>
      <c r="IQV53" s="760">
        <f t="shared" si="138"/>
        <v>5.8499107487866114E+87</v>
      </c>
      <c r="IQW53" s="760">
        <f t="shared" si="138"/>
        <v>6.0254080712502096E+87</v>
      </c>
      <c r="IQX53" s="760">
        <f t="shared" si="138"/>
        <v>6.2061703133877159E+87</v>
      </c>
      <c r="IQY53" s="760">
        <f t="shared" si="138"/>
        <v>6.3923554227893473E+87</v>
      </c>
      <c r="IQZ53" s="760">
        <f t="shared" si="138"/>
        <v>6.5841260854730282E+87</v>
      </c>
      <c r="IRA53" s="760">
        <f t="shared" si="138"/>
        <v>6.7816498680372196E+87</v>
      </c>
      <c r="IRB53" s="760">
        <f t="shared" si="138"/>
        <v>6.985099364078336E+87</v>
      </c>
      <c r="IRC53" s="760">
        <f t="shared" si="138"/>
        <v>7.1946523450006866E+87</v>
      </c>
      <c r="IRD53" s="760">
        <f t="shared" si="138"/>
        <v>7.4104919153507077E+87</v>
      </c>
      <c r="IRE53" s="760">
        <f t="shared" si="138"/>
        <v>7.6328066728112293E+87</v>
      </c>
      <c r="IRF53" s="760">
        <f t="shared" si="138"/>
        <v>7.8617908729955662E+87</v>
      </c>
      <c r="IRG53" s="760">
        <f t="shared" si="138"/>
        <v>8.0976445991854334E+87</v>
      </c>
      <c r="IRH53" s="760">
        <f t="shared" si="138"/>
        <v>8.3405739371609962E+87</v>
      </c>
      <c r="IRI53" s="760">
        <f t="shared" si="138"/>
        <v>8.5907911552758264E+87</v>
      </c>
      <c r="IRJ53" s="760">
        <f t="shared" si="138"/>
        <v>8.8485148899341019E+87</v>
      </c>
      <c r="IRK53" s="760">
        <f t="shared" si="138"/>
        <v>9.1139703366321251E+87</v>
      </c>
      <c r="IRL53" s="760">
        <f t="shared" si="138"/>
        <v>9.3873894467310893E+87</v>
      </c>
      <c r="IRM53" s="760">
        <f t="shared" si="138"/>
        <v>9.6690111301330227E+87</v>
      </c>
      <c r="IRN53" s="760">
        <f t="shared" si="138"/>
        <v>9.9590814640370143E+87</v>
      </c>
      <c r="IRO53" s="760">
        <f t="shared" si="138"/>
        <v>1.0257853907958126E+88</v>
      </c>
      <c r="IRP53" s="760">
        <f t="shared" si="138"/>
        <v>1.056558952519687E+88</v>
      </c>
      <c r="IRQ53" s="760">
        <f t="shared" si="138"/>
        <v>1.0882557210952777E+88</v>
      </c>
      <c r="IRR53" s="760">
        <f t="shared" si="138"/>
        <v>1.1209033927281361E+88</v>
      </c>
      <c r="IRS53" s="760">
        <f t="shared" si="138"/>
        <v>1.1545304945099802E+88</v>
      </c>
      <c r="IRT53" s="760">
        <f t="shared" si="138"/>
        <v>1.1891664093452797E+88</v>
      </c>
      <c r="IRU53" s="760">
        <f t="shared" si="138"/>
        <v>1.224841401625638E+88</v>
      </c>
      <c r="IRV53" s="760">
        <f t="shared" si="138"/>
        <v>1.2615866436744072E+88</v>
      </c>
      <c r="IRW53" s="760">
        <f t="shared" si="138"/>
        <v>1.2994342429846394E+88</v>
      </c>
      <c r="IRX53" s="760">
        <f t="shared" si="138"/>
        <v>1.3384172702741786E+88</v>
      </c>
      <c r="IRY53" s="760">
        <f t="shared" si="138"/>
        <v>1.378569788382404E+88</v>
      </c>
      <c r="IRZ53" s="760">
        <f t="shared" si="138"/>
        <v>1.4199268820338762E+88</v>
      </c>
      <c r="ISA53" s="760">
        <f t="shared" si="138"/>
        <v>1.4625246884948924E+88</v>
      </c>
      <c r="ISB53" s="760">
        <f t="shared" si="138"/>
        <v>1.5064004291497393E+88</v>
      </c>
      <c r="ISC53" s="760">
        <f t="shared" si="138"/>
        <v>1.5515924420242315E+88</v>
      </c>
      <c r="ISD53" s="760">
        <f t="shared" si="138"/>
        <v>1.5981402152849584E+88</v>
      </c>
      <c r="ISE53" s="760">
        <f t="shared" si="138"/>
        <v>1.6460844217435072E+88</v>
      </c>
      <c r="ISF53" s="760">
        <f t="shared" si="138"/>
        <v>1.6954669543958124E+88</v>
      </c>
      <c r="ISG53" s="760">
        <f t="shared" si="138"/>
        <v>1.7463309630276869E+88</v>
      </c>
      <c r="ISH53" s="760">
        <f t="shared" si="138"/>
        <v>1.7987208919185175E+88</v>
      </c>
      <c r="ISI53" s="760">
        <f t="shared" si="138"/>
        <v>1.8526825186760732E+88</v>
      </c>
      <c r="ISJ53" s="760">
        <f t="shared" si="138"/>
        <v>1.9082629942363554E+88</v>
      </c>
      <c r="ISK53" s="760">
        <f t="shared" si="138"/>
        <v>1.9655108840634462E+88</v>
      </c>
      <c r="ISL53" s="760">
        <f t="shared" si="138"/>
        <v>2.0244762105853495E+88</v>
      </c>
      <c r="ISM53" s="760">
        <f t="shared" si="138"/>
        <v>2.0852104969029101E+88</v>
      </c>
      <c r="ISN53" s="760">
        <f t="shared" si="138"/>
        <v>2.1477668118099976E+88</v>
      </c>
      <c r="ISO53" s="760">
        <f t="shared" si="138"/>
        <v>2.2121998161642975E+88</v>
      </c>
      <c r="ISP53" s="760">
        <f t="shared" si="138"/>
        <v>2.2785658106492265E+88</v>
      </c>
      <c r="ISQ53" s="760">
        <f t="shared" si="138"/>
        <v>2.3469227849687033E+88</v>
      </c>
      <c r="ISR53" s="760">
        <f t="shared" si="138"/>
        <v>2.4173304685177645E+88</v>
      </c>
      <c r="ISS53" s="760">
        <f t="shared" si="138"/>
        <v>2.4898503825732975E+88</v>
      </c>
      <c r="IST53" s="760">
        <f t="shared" si="138"/>
        <v>2.5645458940504966E+88</v>
      </c>
      <c r="ISU53" s="760">
        <f t="shared" ref="ISU53:IVF53" si="139">+IST53*$C$53</f>
        <v>2.6414822708720116E+88</v>
      </c>
      <c r="ISV53" s="760">
        <f t="shared" si="139"/>
        <v>2.7207267389981722E+88</v>
      </c>
      <c r="ISW53" s="760">
        <f t="shared" si="139"/>
        <v>2.8023485411681174E+88</v>
      </c>
      <c r="ISX53" s="760">
        <f t="shared" si="139"/>
        <v>2.8864189974031609E+88</v>
      </c>
      <c r="ISY53" s="760">
        <f t="shared" si="139"/>
        <v>2.9730115673252558E+88</v>
      </c>
      <c r="ISZ53" s="760">
        <f t="shared" si="139"/>
        <v>3.0622019143450136E+88</v>
      </c>
      <c r="ITA53" s="760">
        <f t="shared" si="139"/>
        <v>3.1540679717753639E+88</v>
      </c>
      <c r="ITB53" s="760">
        <f t="shared" si="139"/>
        <v>3.2486900109286251E+88</v>
      </c>
      <c r="ITC53" s="760">
        <f t="shared" si="139"/>
        <v>3.3461507112564838E+88</v>
      </c>
      <c r="ITD53" s="760">
        <f t="shared" si="139"/>
        <v>3.4465352325941785E+88</v>
      </c>
      <c r="ITE53" s="760">
        <f t="shared" si="139"/>
        <v>3.5499312895720041E+88</v>
      </c>
      <c r="ITF53" s="760">
        <f t="shared" si="139"/>
        <v>3.6564292282591645E+88</v>
      </c>
      <c r="ITG53" s="760">
        <f t="shared" si="139"/>
        <v>3.7661221051069398E+88</v>
      </c>
      <c r="ITH53" s="760">
        <f t="shared" si="139"/>
        <v>3.8791057682601483E+88</v>
      </c>
      <c r="ITI53" s="760">
        <f t="shared" si="139"/>
        <v>3.9954789413079528E+88</v>
      </c>
      <c r="ITJ53" s="760">
        <f t="shared" si="139"/>
        <v>4.1153433095471918E+88</v>
      </c>
      <c r="ITK53" s="760">
        <f t="shared" si="139"/>
        <v>4.2388036088336079E+88</v>
      </c>
      <c r="ITL53" s="760">
        <f t="shared" si="139"/>
        <v>4.3659677170986159E+88</v>
      </c>
      <c r="ITM53" s="760">
        <f t="shared" si="139"/>
        <v>4.4969467486115744E+88</v>
      </c>
      <c r="ITN53" s="760">
        <f t="shared" si="139"/>
        <v>4.6318551510699214E+88</v>
      </c>
      <c r="ITO53" s="760">
        <f t="shared" si="139"/>
        <v>4.7708108056020191E+88</v>
      </c>
      <c r="ITP53" s="760">
        <f t="shared" si="139"/>
        <v>4.9139351297700795E+88</v>
      </c>
      <c r="ITQ53" s="760">
        <f t="shared" si="139"/>
        <v>5.0613531836631823E+88</v>
      </c>
      <c r="ITR53" s="760">
        <f t="shared" si="139"/>
        <v>5.213193779173078E+88</v>
      </c>
      <c r="ITS53" s="760">
        <f t="shared" si="139"/>
        <v>5.3695895925482705E+88</v>
      </c>
      <c r="ITT53" s="760">
        <f t="shared" si="139"/>
        <v>5.5306772803247189E+88</v>
      </c>
      <c r="ITU53" s="760">
        <f t="shared" si="139"/>
        <v>5.6965975987344608E+88</v>
      </c>
      <c r="ITV53" s="760">
        <f t="shared" si="139"/>
        <v>5.867495526696495E+88</v>
      </c>
      <c r="ITW53" s="760">
        <f t="shared" si="139"/>
        <v>6.04352039249739E+88</v>
      </c>
      <c r="ITX53" s="760">
        <f t="shared" si="139"/>
        <v>6.2248260042723119E+88</v>
      </c>
      <c r="ITY53" s="760">
        <f t="shared" si="139"/>
        <v>6.4115707844004814E+88</v>
      </c>
      <c r="ITZ53" s="760">
        <f t="shared" si="139"/>
        <v>6.6039179079324954E+88</v>
      </c>
      <c r="IUA53" s="760">
        <f t="shared" si="139"/>
        <v>6.80203544517047E+88</v>
      </c>
      <c r="IUB53" s="760">
        <f t="shared" si="139"/>
        <v>7.0060965085255847E+88</v>
      </c>
      <c r="IUC53" s="760">
        <f t="shared" si="139"/>
        <v>7.2162794037813529E+88</v>
      </c>
      <c r="IUD53" s="760">
        <f t="shared" si="139"/>
        <v>7.4327677858947936E+88</v>
      </c>
      <c r="IUE53" s="760">
        <f t="shared" si="139"/>
        <v>7.6557508194716378E+88</v>
      </c>
      <c r="IUF53" s="760">
        <f t="shared" si="139"/>
        <v>7.8854233440557874E+88</v>
      </c>
      <c r="IUG53" s="760">
        <f t="shared" si="139"/>
        <v>8.1219860443774612E+88</v>
      </c>
      <c r="IUH53" s="760">
        <f t="shared" si="139"/>
        <v>8.3656456257087845E+88</v>
      </c>
      <c r="IUI53" s="760">
        <f t="shared" si="139"/>
        <v>8.6166149944800485E+88</v>
      </c>
      <c r="IUJ53" s="760">
        <f t="shared" si="139"/>
        <v>8.8751134443144495E+88</v>
      </c>
      <c r="IUK53" s="760">
        <f t="shared" si="139"/>
        <v>9.1413668476438831E+88</v>
      </c>
      <c r="IUL53" s="760">
        <f t="shared" si="139"/>
        <v>9.4156078530732001E+88</v>
      </c>
      <c r="IUM53" s="760">
        <f t="shared" si="139"/>
        <v>9.6980760886653967E+88</v>
      </c>
      <c r="IUN53" s="760">
        <f t="shared" si="139"/>
        <v>9.9890183713253582E+88</v>
      </c>
      <c r="IUO53" s="760">
        <f t="shared" si="139"/>
        <v>1.0288688922465119E+89</v>
      </c>
      <c r="IUP53" s="760">
        <f t="shared" si="139"/>
        <v>1.0597349590139073E+89</v>
      </c>
      <c r="IUQ53" s="760">
        <f t="shared" si="139"/>
        <v>1.0915270077843246E+89</v>
      </c>
      <c r="IUR53" s="760">
        <f t="shared" si="139"/>
        <v>1.1242728180178544E+89</v>
      </c>
      <c r="IUS53" s="760">
        <f t="shared" si="139"/>
        <v>1.1580010025583901E+89</v>
      </c>
      <c r="IUT53" s="760">
        <f t="shared" si="139"/>
        <v>1.1927410326351418E+89</v>
      </c>
      <c r="IUU53" s="760">
        <f t="shared" si="139"/>
        <v>1.2285232636141961E+89</v>
      </c>
      <c r="IUV53" s="760">
        <f t="shared" si="139"/>
        <v>1.265378961522622E+89</v>
      </c>
      <c r="IUW53" s="760">
        <f t="shared" si="139"/>
        <v>1.3033403303683006E+89</v>
      </c>
      <c r="IUX53" s="760">
        <f t="shared" si="139"/>
        <v>1.3424405402793496E+89</v>
      </c>
      <c r="IUY53" s="760">
        <f t="shared" si="139"/>
        <v>1.3827137564877301E+89</v>
      </c>
      <c r="IUZ53" s="760">
        <f t="shared" si="139"/>
        <v>1.424195169182362E+89</v>
      </c>
      <c r="IVA53" s="760">
        <f t="shared" si="139"/>
        <v>1.4669210242578329E+89</v>
      </c>
      <c r="IVB53" s="760">
        <f t="shared" si="139"/>
        <v>1.5109286549855679E+89</v>
      </c>
      <c r="IVC53" s="760">
        <f t="shared" si="139"/>
        <v>1.5562565146351349E+89</v>
      </c>
      <c r="IVD53" s="760">
        <f t="shared" si="139"/>
        <v>1.6029442100741891E+89</v>
      </c>
      <c r="IVE53" s="760">
        <f t="shared" si="139"/>
        <v>1.6510325363764149E+89</v>
      </c>
      <c r="IVF53" s="760">
        <f t="shared" si="139"/>
        <v>1.7005635124677072E+89</v>
      </c>
      <c r="IVG53" s="760">
        <f t="shared" ref="IVG53:IXR53" si="140">+IVF53*$C$53</f>
        <v>1.7515804178417386E+89</v>
      </c>
      <c r="IVH53" s="760">
        <f t="shared" si="140"/>
        <v>1.8041278303769908E+89</v>
      </c>
      <c r="IVI53" s="760">
        <f t="shared" si="140"/>
        <v>1.8582516652883004E+89</v>
      </c>
      <c r="IVJ53" s="760">
        <f t="shared" si="140"/>
        <v>1.9139992152469493E+89</v>
      </c>
      <c r="IVK53" s="760">
        <f t="shared" si="140"/>
        <v>1.9714191917043579E+89</v>
      </c>
      <c r="IVL53" s="760">
        <f t="shared" si="140"/>
        <v>2.0305617674554886E+89</v>
      </c>
      <c r="IVM53" s="760">
        <f t="shared" si="140"/>
        <v>2.0914786204791534E+89</v>
      </c>
      <c r="IVN53" s="760">
        <f t="shared" si="140"/>
        <v>2.1542229790935281E+89</v>
      </c>
      <c r="IVO53" s="760">
        <f t="shared" si="140"/>
        <v>2.2188496684663339E+89</v>
      </c>
      <c r="IVP53" s="760">
        <f t="shared" si="140"/>
        <v>2.2854151585203239E+89</v>
      </c>
      <c r="IVQ53" s="760">
        <f t="shared" si="140"/>
        <v>2.3539776132759338E+89</v>
      </c>
      <c r="IVR53" s="760">
        <f t="shared" si="140"/>
        <v>2.4245969416742119E+89</v>
      </c>
      <c r="IVS53" s="760">
        <f t="shared" si="140"/>
        <v>2.4973348499244383E+89</v>
      </c>
      <c r="IVT53" s="760">
        <f t="shared" si="140"/>
        <v>2.5722548954221713E+89</v>
      </c>
      <c r="IVU53" s="760">
        <f t="shared" si="140"/>
        <v>2.6494225422848365E+89</v>
      </c>
      <c r="IVV53" s="760">
        <f t="shared" si="140"/>
        <v>2.7289052185533817E+89</v>
      </c>
      <c r="IVW53" s="760">
        <f t="shared" si="140"/>
        <v>2.8107723751099832E+89</v>
      </c>
      <c r="IVX53" s="760">
        <f t="shared" si="140"/>
        <v>2.8950955463632827E+89</v>
      </c>
      <c r="IVY53" s="760">
        <f t="shared" si="140"/>
        <v>2.9819484127541813E+89</v>
      </c>
      <c r="IVZ53" s="760">
        <f t="shared" si="140"/>
        <v>3.0714068651368067E+89</v>
      </c>
      <c r="IWA53" s="760">
        <f t="shared" si="140"/>
        <v>3.1635490710909109E+89</v>
      </c>
      <c r="IWB53" s="760">
        <f t="shared" si="140"/>
        <v>3.2584555432236383E+89</v>
      </c>
      <c r="IWC53" s="760">
        <f t="shared" si="140"/>
        <v>3.3562092095203475E+89</v>
      </c>
      <c r="IWD53" s="760">
        <f t="shared" si="140"/>
        <v>3.4568954858059578E+89</v>
      </c>
      <c r="IWE53" s="760">
        <f t="shared" si="140"/>
        <v>3.5606023503801364E+89</v>
      </c>
      <c r="IWF53" s="760">
        <f t="shared" si="140"/>
        <v>3.6674204208915406E+89</v>
      </c>
      <c r="IWG53" s="760">
        <f t="shared" si="140"/>
        <v>3.7774430335182871E+89</v>
      </c>
      <c r="IWH53" s="760">
        <f t="shared" si="140"/>
        <v>3.890766324523836E+89</v>
      </c>
      <c r="IWI53" s="760">
        <f t="shared" si="140"/>
        <v>4.0074893142595514E+89</v>
      </c>
      <c r="IWJ53" s="760">
        <f t="shared" si="140"/>
        <v>4.1277139936873381E+89</v>
      </c>
      <c r="IWK53" s="760">
        <f t="shared" si="140"/>
        <v>4.2515454134979582E+89</v>
      </c>
      <c r="IWL53" s="760">
        <f t="shared" si="140"/>
        <v>4.3790917759028971E+89</v>
      </c>
      <c r="IWM53" s="760">
        <f t="shared" si="140"/>
        <v>4.510464529179984E+89</v>
      </c>
      <c r="IWN53" s="760">
        <f t="shared" si="140"/>
        <v>4.6457784650553837E+89</v>
      </c>
      <c r="IWO53" s="760">
        <f t="shared" si="140"/>
        <v>4.7851518190070457E+89</v>
      </c>
      <c r="IWP53" s="760">
        <f t="shared" si="140"/>
        <v>4.928706373577257E+89</v>
      </c>
      <c r="IWQ53" s="760">
        <f t="shared" si="140"/>
        <v>5.076567564784575E+89</v>
      </c>
      <c r="IWR53" s="760">
        <f t="shared" si="140"/>
        <v>5.228864591728112E+89</v>
      </c>
      <c r="IWS53" s="760">
        <f t="shared" si="140"/>
        <v>5.3857305294799553E+89</v>
      </c>
      <c r="IWT53" s="760">
        <f t="shared" si="140"/>
        <v>5.5473024453643538E+89</v>
      </c>
      <c r="IWU53" s="760">
        <f t="shared" si="140"/>
        <v>5.7137215187252847E+89</v>
      </c>
      <c r="IWV53" s="760">
        <f t="shared" si="140"/>
        <v>5.8851331642870429E+89</v>
      </c>
      <c r="IWW53" s="760">
        <f t="shared" si="140"/>
        <v>6.0616871592156545E+89</v>
      </c>
      <c r="IWX53" s="760">
        <f t="shared" si="140"/>
        <v>6.243537773992124E+89</v>
      </c>
      <c r="IWY53" s="760">
        <f t="shared" si="140"/>
        <v>6.430843907211888E+89</v>
      </c>
      <c r="IWZ53" s="760">
        <f t="shared" si="140"/>
        <v>6.6237692244282444E+89</v>
      </c>
      <c r="IXA53" s="760">
        <f t="shared" si="140"/>
        <v>6.8224823011610921E+89</v>
      </c>
      <c r="IXB53" s="760">
        <f t="shared" si="140"/>
        <v>7.0271567701959252E+89</v>
      </c>
      <c r="IXC53" s="760">
        <f t="shared" si="140"/>
        <v>7.2379714733018028E+89</v>
      </c>
      <c r="IXD53" s="760">
        <f t="shared" si="140"/>
        <v>7.4551106175008572E+89</v>
      </c>
      <c r="IXE53" s="760">
        <f t="shared" si="140"/>
        <v>7.678763936025883E+89</v>
      </c>
      <c r="IXF53" s="760">
        <f t="shared" si="140"/>
        <v>7.90912685410666E+89</v>
      </c>
      <c r="IXG53" s="760">
        <f t="shared" si="140"/>
        <v>8.1464006597298603E+89</v>
      </c>
      <c r="IXH53" s="760">
        <f t="shared" si="140"/>
        <v>8.3907926795217565E+89</v>
      </c>
      <c r="IXI53" s="760">
        <f t="shared" si="140"/>
        <v>8.6425164599074093E+89</v>
      </c>
      <c r="IXJ53" s="760">
        <f t="shared" si="140"/>
        <v>8.9017919537046314E+89</v>
      </c>
      <c r="IXK53" s="760">
        <f t="shared" si="140"/>
        <v>9.1688457123157708E+89</v>
      </c>
      <c r="IXL53" s="760">
        <f t="shared" si="140"/>
        <v>9.4439110836852447E+89</v>
      </c>
      <c r="IXM53" s="760">
        <f t="shared" si="140"/>
        <v>9.7272284161958027E+89</v>
      </c>
      <c r="IXN53" s="760">
        <f t="shared" si="140"/>
        <v>1.0019045268681678E+90</v>
      </c>
      <c r="IXO53" s="760">
        <f t="shared" si="140"/>
        <v>1.0319616626742129E+90</v>
      </c>
      <c r="IXP53" s="760">
        <f t="shared" si="140"/>
        <v>1.0629205125544392E+90</v>
      </c>
      <c r="IXQ53" s="760">
        <f t="shared" si="140"/>
        <v>1.0948081279310723E+90</v>
      </c>
      <c r="IXR53" s="760">
        <f t="shared" si="140"/>
        <v>1.1276523717690044E+90</v>
      </c>
      <c r="IXS53" s="760">
        <f t="shared" ref="IXS53:JAD53" si="141">+IXR53*$C$53</f>
        <v>1.1614819429220746E+90</v>
      </c>
      <c r="IXT53" s="760">
        <f t="shared" si="141"/>
        <v>1.1963264012097369E+90</v>
      </c>
      <c r="IXU53" s="760">
        <f t="shared" si="141"/>
        <v>1.232216193246029E+90</v>
      </c>
      <c r="IXV53" s="760">
        <f t="shared" si="141"/>
        <v>1.2691826790434098E+90</v>
      </c>
      <c r="IXW53" s="760">
        <f t="shared" si="141"/>
        <v>1.3072581594147122E+90</v>
      </c>
      <c r="IXX53" s="760">
        <f t="shared" si="141"/>
        <v>1.3464759041971537E+90</v>
      </c>
      <c r="IXY53" s="760">
        <f t="shared" si="141"/>
        <v>1.3868701813230684E+90</v>
      </c>
      <c r="IXZ53" s="760">
        <f t="shared" si="141"/>
        <v>1.4284762867627605E+90</v>
      </c>
      <c r="IYA53" s="760">
        <f t="shared" si="141"/>
        <v>1.4713305753656433E+90</v>
      </c>
      <c r="IYB53" s="760">
        <f t="shared" si="141"/>
        <v>1.5154704926266126E+90</v>
      </c>
      <c r="IYC53" s="760">
        <f t="shared" si="141"/>
        <v>1.560934607405411E+90</v>
      </c>
      <c r="IYD53" s="760">
        <f t="shared" si="141"/>
        <v>1.6077626456275735E+90</v>
      </c>
      <c r="IYE53" s="760">
        <f t="shared" si="141"/>
        <v>1.6559955249964006E+90</v>
      </c>
      <c r="IYF53" s="760">
        <f t="shared" si="141"/>
        <v>1.7056753907462927E+90</v>
      </c>
      <c r="IYG53" s="760">
        <f t="shared" si="141"/>
        <v>1.7568456524686815E+90</v>
      </c>
      <c r="IYH53" s="760">
        <f t="shared" si="141"/>
        <v>1.809551022042742E+90</v>
      </c>
      <c r="IYI53" s="760">
        <f t="shared" si="141"/>
        <v>1.8638375527040243E+90</v>
      </c>
      <c r="IYJ53" s="760">
        <f t="shared" si="141"/>
        <v>1.919752679285145E+90</v>
      </c>
      <c r="IYK53" s="760">
        <f t="shared" si="141"/>
        <v>1.9773452596636995E+90</v>
      </c>
      <c r="IYL53" s="760">
        <f t="shared" si="141"/>
        <v>2.0366656174536106E+90</v>
      </c>
      <c r="IYM53" s="760">
        <f t="shared" si="141"/>
        <v>2.097765585977219E+90</v>
      </c>
      <c r="IYN53" s="760">
        <f t="shared" si="141"/>
        <v>2.1606985535565358E+90</v>
      </c>
      <c r="IYO53" s="760">
        <f t="shared" si="141"/>
        <v>2.2255195101632319E+90</v>
      </c>
      <c r="IYP53" s="760">
        <f t="shared" si="141"/>
        <v>2.2922850954681291E+90</v>
      </c>
      <c r="IYQ53" s="760">
        <f t="shared" si="141"/>
        <v>2.3610536483321728E+90</v>
      </c>
      <c r="IYR53" s="760">
        <f t="shared" si="141"/>
        <v>2.431885257782138E+90</v>
      </c>
      <c r="IYS53" s="760">
        <f t="shared" si="141"/>
        <v>2.5048418155156022E+90</v>
      </c>
      <c r="IYT53" s="760">
        <f t="shared" si="141"/>
        <v>2.5799870699810703E+90</v>
      </c>
      <c r="IYU53" s="760">
        <f t="shared" si="141"/>
        <v>2.6573866820805026E+90</v>
      </c>
      <c r="IYV53" s="760">
        <f t="shared" si="141"/>
        <v>2.7371082825429178E+90</v>
      </c>
      <c r="IYW53" s="760">
        <f t="shared" si="141"/>
        <v>2.8192215310192052E+90</v>
      </c>
      <c r="IYX53" s="760">
        <f t="shared" si="141"/>
        <v>2.9037981769497815E+90</v>
      </c>
      <c r="IYY53" s="760">
        <f t="shared" si="141"/>
        <v>2.9909121222582752E+90</v>
      </c>
      <c r="IYZ53" s="760">
        <f t="shared" si="141"/>
        <v>3.0806394859260237E+90</v>
      </c>
      <c r="IZA53" s="760">
        <f t="shared" si="141"/>
        <v>3.1730586705038047E+90</v>
      </c>
      <c r="IZB53" s="760">
        <f t="shared" si="141"/>
        <v>3.2682504306189188E+90</v>
      </c>
      <c r="IZC53" s="760">
        <f t="shared" si="141"/>
        <v>3.3662979435374865E+90</v>
      </c>
      <c r="IZD53" s="760">
        <f t="shared" si="141"/>
        <v>3.4672868818436112E+90</v>
      </c>
      <c r="IZE53" s="760">
        <f t="shared" si="141"/>
        <v>3.5713054882989195E+90</v>
      </c>
      <c r="IZF53" s="760">
        <f t="shared" si="141"/>
        <v>3.6784446529478871E+90</v>
      </c>
      <c r="IZG53" s="760">
        <f t="shared" si="141"/>
        <v>3.7887979925363238E+90</v>
      </c>
      <c r="IZH53" s="760">
        <f t="shared" si="141"/>
        <v>3.9024619323124135E+90</v>
      </c>
      <c r="IZI53" s="760">
        <f t="shared" si="141"/>
        <v>4.0195357902817859E+90</v>
      </c>
      <c r="IZJ53" s="760">
        <f t="shared" si="141"/>
        <v>4.1401218639902398E+90</v>
      </c>
      <c r="IZK53" s="760">
        <f t="shared" si="141"/>
        <v>4.2643255199099472E+90</v>
      </c>
      <c r="IZL53" s="760">
        <f t="shared" si="141"/>
        <v>4.3922552855072456E+90</v>
      </c>
      <c r="IZM53" s="760">
        <f t="shared" si="141"/>
        <v>4.524022944072463E+90</v>
      </c>
      <c r="IZN53" s="760">
        <f t="shared" si="141"/>
        <v>4.6597436323946372E+90</v>
      </c>
      <c r="IZO53" s="760">
        <f t="shared" si="141"/>
        <v>4.7995359413664768E+90</v>
      </c>
      <c r="IZP53" s="760">
        <f t="shared" si="141"/>
        <v>4.943522019607471E+90</v>
      </c>
      <c r="IZQ53" s="760">
        <f t="shared" si="141"/>
        <v>5.0918276801956952E+90</v>
      </c>
      <c r="IZR53" s="760">
        <f t="shared" si="141"/>
        <v>5.2445825106015663E+90</v>
      </c>
      <c r="IZS53" s="760">
        <f t="shared" si="141"/>
        <v>5.4019199859196131E+90</v>
      </c>
      <c r="IZT53" s="760">
        <f t="shared" si="141"/>
        <v>5.5639775854972014E+90</v>
      </c>
      <c r="IZU53" s="760">
        <f t="shared" si="141"/>
        <v>5.7308969130621178E+90</v>
      </c>
      <c r="IZV53" s="760">
        <f t="shared" si="141"/>
        <v>5.9028238204539817E+90</v>
      </c>
      <c r="IZW53" s="760">
        <f t="shared" si="141"/>
        <v>6.0799085350676014E+90</v>
      </c>
      <c r="IZX53" s="760">
        <f t="shared" si="141"/>
        <v>6.2623057911196299E+90</v>
      </c>
      <c r="IZY53" s="760">
        <f t="shared" si="141"/>
        <v>6.4501749648532186E+90</v>
      </c>
      <c r="IZZ53" s="760">
        <f t="shared" si="141"/>
        <v>6.6436802137988157E+90</v>
      </c>
      <c r="JAA53" s="760">
        <f t="shared" si="141"/>
        <v>6.8429906202127802E+90</v>
      </c>
      <c r="JAB53" s="760">
        <f t="shared" si="141"/>
        <v>7.0482803388191643E+90</v>
      </c>
      <c r="JAC53" s="760">
        <f t="shared" si="141"/>
        <v>7.2597287489837393E+90</v>
      </c>
      <c r="JAD53" s="760">
        <f t="shared" si="141"/>
        <v>7.4775206114532516E+90</v>
      </c>
      <c r="JAE53" s="760">
        <f t="shared" ref="JAE53:JCP53" si="142">+JAD53*$C$53</f>
        <v>7.7018462297968491E+90</v>
      </c>
      <c r="JAF53" s="760">
        <f t="shared" si="142"/>
        <v>7.9329016166907546E+90</v>
      </c>
      <c r="JAG53" s="760">
        <f t="shared" si="142"/>
        <v>8.1708886651914766E+90</v>
      </c>
      <c r="JAH53" s="760">
        <f t="shared" si="142"/>
        <v>8.4160153251472206E+90</v>
      </c>
      <c r="JAI53" s="760">
        <f t="shared" si="142"/>
        <v>8.6684957849016383E+90</v>
      </c>
      <c r="JAJ53" s="760">
        <f t="shared" si="142"/>
        <v>8.9285506584486882E+90</v>
      </c>
      <c r="JAK53" s="760">
        <f t="shared" si="142"/>
        <v>9.1964071782021493E+90</v>
      </c>
      <c r="JAL53" s="760">
        <f t="shared" si="142"/>
        <v>9.4722993935482143E+90</v>
      </c>
      <c r="JAM53" s="760">
        <f t="shared" si="142"/>
        <v>9.7564683753546617E+90</v>
      </c>
      <c r="JAN53" s="760">
        <f t="shared" si="142"/>
        <v>1.0049162426615302E+91</v>
      </c>
      <c r="JAO53" s="760">
        <f t="shared" si="142"/>
        <v>1.0350637299413762E+91</v>
      </c>
      <c r="JAP53" s="760">
        <f t="shared" si="142"/>
        <v>1.0661156418396175E+91</v>
      </c>
      <c r="JAQ53" s="760">
        <f t="shared" si="142"/>
        <v>1.098099111094806E+91</v>
      </c>
      <c r="JAR53" s="760">
        <f t="shared" si="142"/>
        <v>1.1310420844276502E+91</v>
      </c>
      <c r="JAS53" s="760">
        <f t="shared" si="142"/>
        <v>1.1649733469604797E+91</v>
      </c>
      <c r="JAT53" s="760">
        <f t="shared" si="142"/>
        <v>1.1999225473692941E+91</v>
      </c>
      <c r="JAU53" s="760">
        <f t="shared" si="142"/>
        <v>1.235920223790373E+91</v>
      </c>
      <c r="JAV53" s="760">
        <f t="shared" si="142"/>
        <v>1.2729978305040841E+91</v>
      </c>
      <c r="JAW53" s="760">
        <f t="shared" si="142"/>
        <v>1.3111877654192066E+91</v>
      </c>
      <c r="JAX53" s="760">
        <f t="shared" si="142"/>
        <v>1.3505233983817829E+91</v>
      </c>
      <c r="JAY53" s="760">
        <f t="shared" si="142"/>
        <v>1.3910391003332364E+91</v>
      </c>
      <c r="JAZ53" s="760">
        <f t="shared" si="142"/>
        <v>1.4327702733432336E+91</v>
      </c>
      <c r="JBA53" s="760">
        <f t="shared" si="142"/>
        <v>1.4757533815435307E+91</v>
      </c>
      <c r="JBB53" s="760">
        <f t="shared" si="142"/>
        <v>1.5200259829898366E+91</v>
      </c>
      <c r="JBC53" s="760">
        <f t="shared" si="142"/>
        <v>1.5656267624795318E+91</v>
      </c>
      <c r="JBD53" s="760">
        <f t="shared" si="142"/>
        <v>1.6125955653539178E+91</v>
      </c>
      <c r="JBE53" s="760">
        <f t="shared" si="142"/>
        <v>1.6609734323145354E+91</v>
      </c>
      <c r="JBF53" s="760">
        <f t="shared" si="142"/>
        <v>1.7108026352839714E+91</v>
      </c>
      <c r="JBG53" s="760">
        <f t="shared" si="142"/>
        <v>1.7621267143424907E+91</v>
      </c>
      <c r="JBH53" s="760">
        <f t="shared" si="142"/>
        <v>1.8149905157727656E+91</v>
      </c>
      <c r="JBI53" s="760">
        <f t="shared" si="142"/>
        <v>1.8694402312459488E+91</v>
      </c>
      <c r="JBJ53" s="760">
        <f t="shared" si="142"/>
        <v>1.9255234381833274E+91</v>
      </c>
      <c r="JBK53" s="760">
        <f t="shared" si="142"/>
        <v>1.9832891413288274E+91</v>
      </c>
      <c r="JBL53" s="760">
        <f t="shared" si="142"/>
        <v>2.0427878155686922E+91</v>
      </c>
      <c r="JBM53" s="760">
        <f t="shared" si="142"/>
        <v>2.1040714500357528E+91</v>
      </c>
      <c r="JBN53" s="760">
        <f t="shared" si="142"/>
        <v>2.1671935935368254E+91</v>
      </c>
      <c r="JBO53" s="760">
        <f t="shared" si="142"/>
        <v>2.2322094013429303E+91</v>
      </c>
      <c r="JBP53" s="760">
        <f t="shared" si="142"/>
        <v>2.2991756833832184E+91</v>
      </c>
      <c r="JBQ53" s="760">
        <f t="shared" si="142"/>
        <v>2.3681509538847151E+91</v>
      </c>
      <c r="JBR53" s="760">
        <f t="shared" si="142"/>
        <v>2.4391954825012567E+91</v>
      </c>
      <c r="JBS53" s="760">
        <f t="shared" si="142"/>
        <v>2.5123713469762946E+91</v>
      </c>
      <c r="JBT53" s="760">
        <f t="shared" si="142"/>
        <v>2.5877424873855836E+91</v>
      </c>
      <c r="JBU53" s="760">
        <f t="shared" si="142"/>
        <v>2.665374762007151E+91</v>
      </c>
      <c r="JBV53" s="760">
        <f t="shared" si="142"/>
        <v>2.7453360048673657E+91</v>
      </c>
      <c r="JBW53" s="760">
        <f t="shared" si="142"/>
        <v>2.8276960850133868E+91</v>
      </c>
      <c r="JBX53" s="760">
        <f t="shared" si="142"/>
        <v>2.9125269675637883E+91</v>
      </c>
      <c r="JBY53" s="760">
        <f t="shared" si="142"/>
        <v>2.9999027765907019E+91</v>
      </c>
      <c r="JBZ53" s="760">
        <f t="shared" si="142"/>
        <v>3.0898998598884229E+91</v>
      </c>
      <c r="JCA53" s="760">
        <f t="shared" si="142"/>
        <v>3.1825968556850757E+91</v>
      </c>
      <c r="JCB53" s="760">
        <f t="shared" si="142"/>
        <v>3.278074761355628E+91</v>
      </c>
      <c r="JCC53" s="760">
        <f t="shared" si="142"/>
        <v>3.3764170041962965E+91</v>
      </c>
      <c r="JCD53" s="760">
        <f t="shared" si="142"/>
        <v>3.4777095143221855E+91</v>
      </c>
      <c r="JCE53" s="760">
        <f t="shared" si="142"/>
        <v>3.5820407997518512E+91</v>
      </c>
      <c r="JCF53" s="760">
        <f t="shared" si="142"/>
        <v>3.6895020237444067E+91</v>
      </c>
      <c r="JCG53" s="760">
        <f t="shared" si="142"/>
        <v>3.8001870844567389E+91</v>
      </c>
      <c r="JCH53" s="760">
        <f t="shared" si="142"/>
        <v>3.9141926969904408E+91</v>
      </c>
      <c r="JCI53" s="760">
        <f t="shared" si="142"/>
        <v>4.031618477900154E+91</v>
      </c>
      <c r="JCJ53" s="760">
        <f t="shared" si="142"/>
        <v>4.1525670322371591E+91</v>
      </c>
      <c r="JCK53" s="760">
        <f t="shared" si="142"/>
        <v>4.2771440432042743E+91</v>
      </c>
      <c r="JCL53" s="760">
        <f t="shared" si="142"/>
        <v>4.4054583645004024E+91</v>
      </c>
      <c r="JCM53" s="760">
        <f t="shared" si="142"/>
        <v>4.5376221154354147E+91</v>
      </c>
      <c r="JCN53" s="760">
        <f t="shared" si="142"/>
        <v>4.6737507788984776E+91</v>
      </c>
      <c r="JCO53" s="760">
        <f t="shared" si="142"/>
        <v>4.8139633022654321E+91</v>
      </c>
      <c r="JCP53" s="760">
        <f t="shared" si="142"/>
        <v>4.958382201333395E+91</v>
      </c>
      <c r="JCQ53" s="760">
        <f t="shared" ref="JCQ53:JFB53" si="143">+JCP53*$C$53</f>
        <v>5.1071336673733968E+91</v>
      </c>
      <c r="JCR53" s="760">
        <f t="shared" si="143"/>
        <v>5.2603476773945989E+91</v>
      </c>
      <c r="JCS53" s="760">
        <f t="shared" si="143"/>
        <v>5.4181581077164371E+91</v>
      </c>
      <c r="JCT53" s="760">
        <f t="shared" si="143"/>
        <v>5.5807028509479306E+91</v>
      </c>
      <c r="JCU53" s="760">
        <f t="shared" si="143"/>
        <v>5.7481239364763687E+91</v>
      </c>
      <c r="JCV53" s="760">
        <f t="shared" si="143"/>
        <v>5.9205676545706598E+91</v>
      </c>
      <c r="JCW53" s="760">
        <f t="shared" si="143"/>
        <v>6.0981846842077799E+91</v>
      </c>
      <c r="JCX53" s="760">
        <f t="shared" si="143"/>
        <v>6.2811302247340133E+91</v>
      </c>
      <c r="JCY53" s="760">
        <f t="shared" si="143"/>
        <v>6.4695641314760339E+91</v>
      </c>
      <c r="JCZ53" s="760">
        <f t="shared" si="143"/>
        <v>6.6636510554203156E+91</v>
      </c>
      <c r="JDA53" s="760">
        <f t="shared" si="143"/>
        <v>6.8635605870829253E+91</v>
      </c>
      <c r="JDB53" s="760">
        <f t="shared" si="143"/>
        <v>7.0694674046954135E+91</v>
      </c>
      <c r="JDC53" s="760">
        <f t="shared" si="143"/>
        <v>7.2815514268362765E+91</v>
      </c>
      <c r="JDD53" s="760">
        <f t="shared" si="143"/>
        <v>7.4999979696413652E+91</v>
      </c>
      <c r="JDE53" s="760">
        <f t="shared" si="143"/>
        <v>7.724997908730607E+91</v>
      </c>
      <c r="JDF53" s="760">
        <f t="shared" si="143"/>
        <v>7.9567478459925251E+91</v>
      </c>
      <c r="JDG53" s="760">
        <f t="shared" si="143"/>
        <v>8.1954502813723014E+91</v>
      </c>
      <c r="JDH53" s="760">
        <f t="shared" si="143"/>
        <v>8.4413137898134708E+91</v>
      </c>
      <c r="JDI53" s="760">
        <f t="shared" si="143"/>
        <v>8.6945532035078745E+91</v>
      </c>
      <c r="JDJ53" s="760">
        <f t="shared" si="143"/>
        <v>8.9553897996131108E+91</v>
      </c>
      <c r="JDK53" s="760">
        <f t="shared" si="143"/>
        <v>9.2240514936015049E+91</v>
      </c>
      <c r="JDL53" s="760">
        <f t="shared" si="143"/>
        <v>9.5007730384095503E+91</v>
      </c>
      <c r="JDM53" s="760">
        <f t="shared" si="143"/>
        <v>9.7857962295618368E+91</v>
      </c>
      <c r="JDN53" s="760">
        <f t="shared" si="143"/>
        <v>1.0079370116448692E+92</v>
      </c>
      <c r="JDO53" s="760">
        <f t="shared" si="143"/>
        <v>1.0381751219942153E+92</v>
      </c>
      <c r="JDP53" s="760">
        <f t="shared" si="143"/>
        <v>1.0693203756540418E+92</v>
      </c>
      <c r="JDQ53" s="760">
        <f t="shared" si="143"/>
        <v>1.101399986923663E+92</v>
      </c>
      <c r="JDR53" s="760">
        <f t="shared" si="143"/>
        <v>1.134441986531373E+92</v>
      </c>
      <c r="JDS53" s="760">
        <f t="shared" si="143"/>
        <v>1.1684752461273142E+92</v>
      </c>
      <c r="JDT53" s="760">
        <f t="shared" si="143"/>
        <v>1.2035295035111336E+92</v>
      </c>
      <c r="JDU53" s="760">
        <f t="shared" si="143"/>
        <v>1.2396353886164677E+92</v>
      </c>
      <c r="JDV53" s="760">
        <f t="shared" si="143"/>
        <v>1.2768244502749618E+92</v>
      </c>
      <c r="JDW53" s="760">
        <f t="shared" si="143"/>
        <v>1.3151291837832108E+92</v>
      </c>
      <c r="JDX53" s="760">
        <f t="shared" si="143"/>
        <v>1.3545830592967071E+92</v>
      </c>
      <c r="JDY53" s="760">
        <f t="shared" si="143"/>
        <v>1.3952205510756082E+92</v>
      </c>
      <c r="JDZ53" s="760">
        <f t="shared" si="143"/>
        <v>1.4370771676078766E+92</v>
      </c>
      <c r="JEA53" s="760">
        <f t="shared" si="143"/>
        <v>1.4801894826361129E+92</v>
      </c>
      <c r="JEB53" s="760">
        <f t="shared" si="143"/>
        <v>1.5245951671151962E+92</v>
      </c>
      <c r="JEC53" s="760">
        <f t="shared" si="143"/>
        <v>1.5703330221286522E+92</v>
      </c>
      <c r="JED53" s="760">
        <f t="shared" si="143"/>
        <v>1.6174430127925119E+92</v>
      </c>
      <c r="JEE53" s="760">
        <f t="shared" si="143"/>
        <v>1.6659663031762872E+92</v>
      </c>
      <c r="JEF53" s="760">
        <f t="shared" si="143"/>
        <v>1.7159452922715759E+92</v>
      </c>
      <c r="JEG53" s="760">
        <f t="shared" si="143"/>
        <v>1.7674236510397233E+92</v>
      </c>
      <c r="JEH53" s="760">
        <f t="shared" si="143"/>
        <v>1.8204463605709151E+92</v>
      </c>
      <c r="JEI53" s="760">
        <f t="shared" si="143"/>
        <v>1.8750597513880426E+92</v>
      </c>
      <c r="JEJ53" s="760">
        <f t="shared" si="143"/>
        <v>1.931311543929684E+92</v>
      </c>
      <c r="JEK53" s="760">
        <f t="shared" si="143"/>
        <v>1.9892508902475744E+92</v>
      </c>
      <c r="JEL53" s="760">
        <f t="shared" si="143"/>
        <v>2.0489284169550017E+92</v>
      </c>
      <c r="JEM53" s="760">
        <f t="shared" si="143"/>
        <v>2.1103962694636519E+92</v>
      </c>
      <c r="JEN53" s="760">
        <f t="shared" si="143"/>
        <v>2.1737081575475616E+92</v>
      </c>
      <c r="JEO53" s="760">
        <f t="shared" si="143"/>
        <v>2.2389194022739886E+92</v>
      </c>
      <c r="JEP53" s="760">
        <f t="shared" si="143"/>
        <v>2.3060869843422084E+92</v>
      </c>
      <c r="JEQ53" s="760">
        <f t="shared" si="143"/>
        <v>2.3752695938724746E+92</v>
      </c>
      <c r="JER53" s="760">
        <f t="shared" si="143"/>
        <v>2.4465276816886489E+92</v>
      </c>
      <c r="JES53" s="760">
        <f t="shared" si="143"/>
        <v>2.5199235121393085E+92</v>
      </c>
      <c r="JET53" s="760">
        <f t="shared" si="143"/>
        <v>2.5955212175034878E+92</v>
      </c>
      <c r="JEU53" s="760">
        <f t="shared" si="143"/>
        <v>2.6733868540285928E+92</v>
      </c>
      <c r="JEV53" s="760">
        <f t="shared" si="143"/>
        <v>2.7535884596494508E+92</v>
      </c>
      <c r="JEW53" s="760">
        <f t="shared" si="143"/>
        <v>2.8361961134389342E+92</v>
      </c>
      <c r="JEX53" s="760">
        <f t="shared" si="143"/>
        <v>2.9212819968421026E+92</v>
      </c>
      <c r="JEY53" s="760">
        <f t="shared" si="143"/>
        <v>3.0089204567473659E+92</v>
      </c>
      <c r="JEZ53" s="760">
        <f t="shared" si="143"/>
        <v>3.0991880704497868E+92</v>
      </c>
      <c r="JFA53" s="760">
        <f t="shared" si="143"/>
        <v>3.1921637125632806E+92</v>
      </c>
      <c r="JFB53" s="760">
        <f t="shared" si="143"/>
        <v>3.2879286239401789E+92</v>
      </c>
      <c r="JFC53" s="760">
        <f t="shared" ref="JFC53:JHN53" si="144">+JFB53*$C$53</f>
        <v>3.3865664826583844E+92</v>
      </c>
      <c r="JFD53" s="760">
        <f t="shared" si="144"/>
        <v>3.488163477138136E+92</v>
      </c>
      <c r="JFE53" s="760">
        <f t="shared" si="144"/>
        <v>3.5928083814522803E+92</v>
      </c>
      <c r="JFF53" s="760">
        <f t="shared" si="144"/>
        <v>3.7005926328958489E+92</v>
      </c>
      <c r="JFG53" s="760">
        <f t="shared" si="144"/>
        <v>3.8116104118827245E+92</v>
      </c>
      <c r="JFH53" s="760">
        <f t="shared" si="144"/>
        <v>3.9259587242392062E+92</v>
      </c>
      <c r="JFI53" s="760">
        <f t="shared" si="144"/>
        <v>4.0437374859663824E+92</v>
      </c>
      <c r="JFJ53" s="760">
        <f t="shared" si="144"/>
        <v>4.1650496105453738E+92</v>
      </c>
      <c r="JFK53" s="760">
        <f t="shared" si="144"/>
        <v>4.290001098861735E+92</v>
      </c>
      <c r="JFL53" s="760">
        <f t="shared" si="144"/>
        <v>4.4187011318275871E+92</v>
      </c>
      <c r="JFM53" s="760">
        <f t="shared" si="144"/>
        <v>4.5512621657824148E+92</v>
      </c>
      <c r="JFN53" s="760">
        <f t="shared" si="144"/>
        <v>4.6878000307558874E+92</v>
      </c>
      <c r="JFO53" s="760">
        <f t="shared" si="144"/>
        <v>4.8284340316785642E+92</v>
      </c>
      <c r="JFP53" s="760">
        <f t="shared" si="144"/>
        <v>4.9732870526289212E+92</v>
      </c>
      <c r="JFQ53" s="760">
        <f t="shared" si="144"/>
        <v>5.1224856642077893E+92</v>
      </c>
      <c r="JFR53" s="760">
        <f t="shared" si="144"/>
        <v>5.2761602341340228E+92</v>
      </c>
      <c r="JFS53" s="760">
        <f t="shared" si="144"/>
        <v>5.4344450411580435E+92</v>
      </c>
      <c r="JFT53" s="760">
        <f t="shared" si="144"/>
        <v>5.5974783923927847E+92</v>
      </c>
      <c r="JFU53" s="760">
        <f t="shared" si="144"/>
        <v>5.7654027441645688E+92</v>
      </c>
      <c r="JFV53" s="760">
        <f t="shared" si="144"/>
        <v>5.9383648264895061E+92</v>
      </c>
      <c r="JFW53" s="760">
        <f t="shared" si="144"/>
        <v>6.1165157712841917E+92</v>
      </c>
      <c r="JFX53" s="760">
        <f t="shared" si="144"/>
        <v>6.300011244422717E+92</v>
      </c>
      <c r="JFY53" s="760">
        <f t="shared" si="144"/>
        <v>6.4890115817553989E+92</v>
      </c>
      <c r="JFZ53" s="760">
        <f t="shared" si="144"/>
        <v>6.683681929208061E+92</v>
      </c>
      <c r="JGA53" s="760">
        <f t="shared" si="144"/>
        <v>6.8841923870843029E+92</v>
      </c>
      <c r="JGB53" s="760">
        <f t="shared" si="144"/>
        <v>7.0907181586968319E+92</v>
      </c>
      <c r="JGC53" s="760">
        <f t="shared" si="144"/>
        <v>7.3034397034577366E+92</v>
      </c>
      <c r="JGD53" s="760">
        <f t="shared" si="144"/>
        <v>7.5225428945614687E+92</v>
      </c>
      <c r="JGE53" s="760">
        <f t="shared" si="144"/>
        <v>7.7482191813983131E+92</v>
      </c>
      <c r="JGF53" s="760">
        <f t="shared" si="144"/>
        <v>7.9806657568402623E+92</v>
      </c>
      <c r="JGG53" s="760">
        <f t="shared" si="144"/>
        <v>8.2200857295454705E+92</v>
      </c>
      <c r="JGH53" s="760">
        <f t="shared" si="144"/>
        <v>8.4666883014318352E+92</v>
      </c>
      <c r="JGI53" s="760">
        <f t="shared" si="144"/>
        <v>8.7206889504747905E+92</v>
      </c>
      <c r="JGJ53" s="760">
        <f t="shared" si="144"/>
        <v>8.9823096189890343E+92</v>
      </c>
      <c r="JGK53" s="760">
        <f t="shared" si="144"/>
        <v>9.2517789075587061E+92</v>
      </c>
      <c r="JGL53" s="760">
        <f t="shared" si="144"/>
        <v>9.5293322747854677E+92</v>
      </c>
      <c r="JGM53" s="760">
        <f t="shared" si="144"/>
        <v>9.8152122430290322E+92</v>
      </c>
      <c r="JGN53" s="760">
        <f t="shared" si="144"/>
        <v>1.0109668610319903E+93</v>
      </c>
      <c r="JGO53" s="760">
        <f t="shared" si="144"/>
        <v>1.0412958668629501E+93</v>
      </c>
      <c r="JGP53" s="760">
        <f t="shared" si="144"/>
        <v>1.0725347428688387E+93</v>
      </c>
      <c r="JGQ53" s="760">
        <f t="shared" si="144"/>
        <v>1.1047107851549039E+93</v>
      </c>
      <c r="JGR53" s="760">
        <f t="shared" si="144"/>
        <v>1.137852108709551E+93</v>
      </c>
      <c r="JGS53" s="760">
        <f t="shared" si="144"/>
        <v>1.1719876719708375E+93</v>
      </c>
      <c r="JGT53" s="760">
        <f t="shared" si="144"/>
        <v>1.2071473021299626E+93</v>
      </c>
      <c r="JGU53" s="760">
        <f t="shared" si="144"/>
        <v>1.2433617211938614E+93</v>
      </c>
      <c r="JGV53" s="760">
        <f t="shared" si="144"/>
        <v>1.2806625728296773E+93</v>
      </c>
      <c r="JGW53" s="760">
        <f t="shared" si="144"/>
        <v>1.3190824500145676E+93</v>
      </c>
      <c r="JGX53" s="760">
        <f t="shared" si="144"/>
        <v>1.3586549235150045E+93</v>
      </c>
      <c r="JGY53" s="760">
        <f t="shared" si="144"/>
        <v>1.3994145712204547E+93</v>
      </c>
      <c r="JGZ53" s="760">
        <f t="shared" si="144"/>
        <v>1.4413970083570683E+93</v>
      </c>
      <c r="JHA53" s="760">
        <f t="shared" si="144"/>
        <v>1.4846389186077804E+93</v>
      </c>
      <c r="JHB53" s="760">
        <f t="shared" si="144"/>
        <v>1.5291780861660139E+93</v>
      </c>
      <c r="JHC53" s="760">
        <f t="shared" si="144"/>
        <v>1.5750534287509944E+93</v>
      </c>
      <c r="JHD53" s="760">
        <f t="shared" si="144"/>
        <v>1.6223050316135244E+93</v>
      </c>
      <c r="JHE53" s="760">
        <f t="shared" si="144"/>
        <v>1.67097418256193E+93</v>
      </c>
      <c r="JHF53" s="760">
        <f t="shared" si="144"/>
        <v>1.721103408038788E+93</v>
      </c>
      <c r="JHG53" s="760">
        <f t="shared" si="144"/>
        <v>1.7727365102799516E+93</v>
      </c>
      <c r="JHH53" s="760">
        <f t="shared" si="144"/>
        <v>1.8259186055883503E+93</v>
      </c>
      <c r="JHI53" s="760">
        <f t="shared" si="144"/>
        <v>1.8806961637560007E+93</v>
      </c>
      <c r="JHJ53" s="760">
        <f t="shared" si="144"/>
        <v>1.9371170486686808E+93</v>
      </c>
      <c r="JHK53" s="760">
        <f t="shared" si="144"/>
        <v>1.9952305601287412E+93</v>
      </c>
      <c r="JHL53" s="760">
        <f t="shared" si="144"/>
        <v>2.0550874769326035E+93</v>
      </c>
      <c r="JHM53" s="760">
        <f t="shared" si="144"/>
        <v>2.1167401012405818E+93</v>
      </c>
      <c r="JHN53" s="760">
        <f t="shared" si="144"/>
        <v>2.1802423042777992E+93</v>
      </c>
      <c r="JHO53" s="760">
        <f t="shared" ref="JHO53:JJZ53" si="145">+JHN53*$C$53</f>
        <v>2.2456495734061335E+93</v>
      </c>
      <c r="JHP53" s="760">
        <f t="shared" si="145"/>
        <v>2.3130190606083176E+93</v>
      </c>
      <c r="JHQ53" s="760">
        <f t="shared" si="145"/>
        <v>2.382409632426567E+93</v>
      </c>
      <c r="JHR53" s="760">
        <f t="shared" si="145"/>
        <v>2.4538819213993639E+93</v>
      </c>
      <c r="JHS53" s="760">
        <f t="shared" si="145"/>
        <v>2.5274983790413451E+93</v>
      </c>
      <c r="JHT53" s="760">
        <f t="shared" si="145"/>
        <v>2.6033233304125855E+93</v>
      </c>
      <c r="JHU53" s="760">
        <f t="shared" si="145"/>
        <v>2.6814230303249631E+93</v>
      </c>
      <c r="JHV53" s="760">
        <f t="shared" si="145"/>
        <v>2.7618657212347121E+93</v>
      </c>
      <c r="JHW53" s="760">
        <f t="shared" si="145"/>
        <v>2.8447216928717537E+93</v>
      </c>
      <c r="JHX53" s="760">
        <f t="shared" si="145"/>
        <v>2.9300633436579066E+93</v>
      </c>
      <c r="JHY53" s="760">
        <f t="shared" si="145"/>
        <v>3.0179652439676439E+93</v>
      </c>
      <c r="JHZ53" s="760">
        <f t="shared" si="145"/>
        <v>3.1085042012866733E+93</v>
      </c>
      <c r="JIA53" s="760">
        <f t="shared" si="145"/>
        <v>3.2017593273252735E+93</v>
      </c>
      <c r="JIB53" s="760">
        <f t="shared" si="145"/>
        <v>3.2978121071450319E+93</v>
      </c>
      <c r="JIC53" s="760">
        <f t="shared" si="145"/>
        <v>3.3967464703593831E+93</v>
      </c>
      <c r="JID53" s="760">
        <f t="shared" si="145"/>
        <v>3.4986488644701645E+93</v>
      </c>
      <c r="JIE53" s="760">
        <f t="shared" si="145"/>
        <v>3.6036083304042695E+93</v>
      </c>
      <c r="JIF53" s="760">
        <f t="shared" si="145"/>
        <v>3.7117165803163975E+93</v>
      </c>
      <c r="JIG53" s="760">
        <f t="shared" si="145"/>
        <v>3.8230680777258896E+93</v>
      </c>
      <c r="JIH53" s="760">
        <f t="shared" si="145"/>
        <v>3.9377601200576664E+93</v>
      </c>
      <c r="JII53" s="760">
        <f t="shared" si="145"/>
        <v>4.0558929236593964E+93</v>
      </c>
      <c r="JIJ53" s="760">
        <f t="shared" si="145"/>
        <v>4.1775697113691782E+93</v>
      </c>
      <c r="JIK53" s="760">
        <f t="shared" si="145"/>
        <v>4.302896802710254E+93</v>
      </c>
      <c r="JIL53" s="760">
        <f t="shared" si="145"/>
        <v>4.4319837067915615E+93</v>
      </c>
      <c r="JIM53" s="760">
        <f t="shared" si="145"/>
        <v>4.5649432179953085E+93</v>
      </c>
      <c r="JIN53" s="760">
        <f t="shared" si="145"/>
        <v>4.7018915145351676E+93</v>
      </c>
      <c r="JIO53" s="760">
        <f t="shared" si="145"/>
        <v>4.842948259971223E+93</v>
      </c>
      <c r="JIP53" s="760">
        <f t="shared" si="145"/>
        <v>4.9882367077703596E+93</v>
      </c>
      <c r="JIQ53" s="760">
        <f t="shared" si="145"/>
        <v>5.1378838090034701E+93</v>
      </c>
      <c r="JIR53" s="760">
        <f t="shared" si="145"/>
        <v>5.2920203232735748E+93</v>
      </c>
      <c r="JIS53" s="760">
        <f t="shared" si="145"/>
        <v>5.4507809329717821E+93</v>
      </c>
      <c r="JIT53" s="760">
        <f t="shared" si="145"/>
        <v>5.6143043609609353E+93</v>
      </c>
      <c r="JIU53" s="760">
        <f t="shared" si="145"/>
        <v>5.7827334917897637E+93</v>
      </c>
      <c r="JIV53" s="760">
        <f t="shared" si="145"/>
        <v>5.9562154965434571E+93</v>
      </c>
      <c r="JIW53" s="760">
        <f t="shared" si="145"/>
        <v>6.1349019614397611E+93</v>
      </c>
      <c r="JIX53" s="760">
        <f t="shared" si="145"/>
        <v>6.3189490202829541E+93</v>
      </c>
      <c r="JIY53" s="760">
        <f t="shared" si="145"/>
        <v>6.5085174908914428E+93</v>
      </c>
      <c r="JIZ53" s="760">
        <f t="shared" si="145"/>
        <v>6.7037730156181863E+93</v>
      </c>
      <c r="JJA53" s="760">
        <f t="shared" si="145"/>
        <v>6.9048862060867322E+93</v>
      </c>
      <c r="JJB53" s="760">
        <f t="shared" si="145"/>
        <v>7.1120327922693346E+93</v>
      </c>
      <c r="JJC53" s="760">
        <f t="shared" si="145"/>
        <v>7.325393776037415E+93</v>
      </c>
      <c r="JJD53" s="760">
        <f t="shared" si="145"/>
        <v>7.5451555893185376E+93</v>
      </c>
      <c r="JJE53" s="760">
        <f t="shared" si="145"/>
        <v>7.7715102569980943E+93</v>
      </c>
      <c r="JJF53" s="760">
        <f t="shared" si="145"/>
        <v>8.0046555647080377E+93</v>
      </c>
      <c r="JJG53" s="760">
        <f t="shared" si="145"/>
        <v>8.2447952316492789E+93</v>
      </c>
      <c r="JJH53" s="760">
        <f t="shared" si="145"/>
        <v>8.4921390885987583E+93</v>
      </c>
      <c r="JJI53" s="760">
        <f t="shared" si="145"/>
        <v>8.7469032612567203E+93</v>
      </c>
      <c r="JJJ53" s="760">
        <f t="shared" si="145"/>
        <v>9.0093103590944222E+93</v>
      </c>
      <c r="JJK53" s="760">
        <f t="shared" si="145"/>
        <v>9.2795896698672557E+93</v>
      </c>
      <c r="JJL53" s="760">
        <f t="shared" si="145"/>
        <v>9.5579773599632737E+93</v>
      </c>
      <c r="JJM53" s="760">
        <f t="shared" si="145"/>
        <v>9.8447166807621729E+93</v>
      </c>
      <c r="JJN53" s="760">
        <f t="shared" si="145"/>
        <v>1.0140058181185039E+94</v>
      </c>
      <c r="JJO53" s="760">
        <f t="shared" si="145"/>
        <v>1.0444259926620591E+94</v>
      </c>
      <c r="JJP53" s="760">
        <f t="shared" si="145"/>
        <v>1.0757587724419208E+94</v>
      </c>
      <c r="JJQ53" s="760">
        <f t="shared" si="145"/>
        <v>1.1080315356151785E+94</v>
      </c>
      <c r="JJR53" s="760">
        <f t="shared" si="145"/>
        <v>1.1412724816836338E+94</v>
      </c>
      <c r="JJS53" s="760">
        <f t="shared" si="145"/>
        <v>1.1755106561341429E+94</v>
      </c>
      <c r="JJT53" s="760">
        <f t="shared" si="145"/>
        <v>1.2107759758181671E+94</v>
      </c>
      <c r="JJU53" s="760">
        <f t="shared" si="145"/>
        <v>1.2470992550927121E+94</v>
      </c>
      <c r="JJV53" s="760">
        <f t="shared" si="145"/>
        <v>1.2845122327454935E+94</v>
      </c>
      <c r="JJW53" s="760">
        <f t="shared" si="145"/>
        <v>1.3230475997278582E+94</v>
      </c>
      <c r="JJX53" s="760">
        <f t="shared" si="145"/>
        <v>1.362739027719694E+94</v>
      </c>
      <c r="JJY53" s="760">
        <f t="shared" si="145"/>
        <v>1.4036211985512849E+94</v>
      </c>
      <c r="JJZ53" s="760">
        <f t="shared" si="145"/>
        <v>1.4457298345078234E+94</v>
      </c>
      <c r="JKA53" s="760">
        <f t="shared" ref="JKA53:JML53" si="146">+JJZ53*$C$53</f>
        <v>1.4891017295430581E+94</v>
      </c>
      <c r="JKB53" s="760">
        <f t="shared" si="146"/>
        <v>1.5337747814293499E+94</v>
      </c>
      <c r="JKC53" s="760">
        <f t="shared" si="146"/>
        <v>1.5797880248722304E+94</v>
      </c>
      <c r="JKD53" s="760">
        <f t="shared" si="146"/>
        <v>1.6271816656183974E+94</v>
      </c>
      <c r="JKE53" s="760">
        <f t="shared" si="146"/>
        <v>1.6759971155869494E+94</v>
      </c>
      <c r="JKF53" s="760">
        <f t="shared" si="146"/>
        <v>1.7262770290545579E+94</v>
      </c>
      <c r="JKG53" s="760">
        <f t="shared" si="146"/>
        <v>1.7780653399261946E+94</v>
      </c>
      <c r="JKH53" s="760">
        <f t="shared" si="146"/>
        <v>1.8314073001239807E+94</v>
      </c>
      <c r="JKI53" s="760">
        <f t="shared" si="146"/>
        <v>1.8863495191277E+94</v>
      </c>
      <c r="JKJ53" s="760">
        <f t="shared" si="146"/>
        <v>1.9429400047015312E+94</v>
      </c>
      <c r="JKK53" s="760">
        <f t="shared" si="146"/>
        <v>2.0012282048425771E+94</v>
      </c>
      <c r="JKL53" s="760">
        <f t="shared" si="146"/>
        <v>2.0612650509878543E+94</v>
      </c>
      <c r="JKM53" s="760">
        <f t="shared" si="146"/>
        <v>2.1231030025174898E+94</v>
      </c>
      <c r="JKN53" s="760">
        <f t="shared" si="146"/>
        <v>2.1867960925930148E+94</v>
      </c>
      <c r="JKO53" s="760">
        <f t="shared" si="146"/>
        <v>2.2523999753708054E+94</v>
      </c>
      <c r="JKP53" s="760">
        <f t="shared" si="146"/>
        <v>2.3199719746319296E+94</v>
      </c>
      <c r="JKQ53" s="760">
        <f t="shared" si="146"/>
        <v>2.3895711338708875E+94</v>
      </c>
      <c r="JKR53" s="760">
        <f t="shared" si="146"/>
        <v>2.4612582678870142E+94</v>
      </c>
      <c r="JKS53" s="760">
        <f t="shared" si="146"/>
        <v>2.5350960159236247E+94</v>
      </c>
      <c r="JKT53" s="760">
        <f t="shared" si="146"/>
        <v>2.6111488964013335E+94</v>
      </c>
      <c r="JKU53" s="760">
        <f t="shared" si="146"/>
        <v>2.6894833632933736E+94</v>
      </c>
      <c r="JKV53" s="760">
        <f t="shared" si="146"/>
        <v>2.770167864192175E+94</v>
      </c>
      <c r="JKW53" s="760">
        <f t="shared" si="146"/>
        <v>2.8532729001179405E+94</v>
      </c>
      <c r="JKX53" s="760">
        <f t="shared" si="146"/>
        <v>2.9388710871214789E+94</v>
      </c>
      <c r="JKY53" s="760">
        <f t="shared" si="146"/>
        <v>3.0270372197351234E+94</v>
      </c>
      <c r="JKZ53" s="760">
        <f t="shared" si="146"/>
        <v>3.117848336327177E+94</v>
      </c>
      <c r="JLA53" s="760">
        <f t="shared" si="146"/>
        <v>3.2113837864169923E+94</v>
      </c>
      <c r="JLB53" s="760">
        <f t="shared" si="146"/>
        <v>3.3077253000095021E+94</v>
      </c>
      <c r="JLC53" s="760">
        <f t="shared" si="146"/>
        <v>3.4069570590097869E+94</v>
      </c>
      <c r="JLD53" s="760">
        <f t="shared" si="146"/>
        <v>3.5091657707800805E+94</v>
      </c>
      <c r="JLE53" s="760">
        <f t="shared" si="146"/>
        <v>3.6144407439034828E+94</v>
      </c>
      <c r="JLF53" s="760">
        <f t="shared" si="146"/>
        <v>3.722873966220587E+94</v>
      </c>
      <c r="JLG53" s="760">
        <f t="shared" si="146"/>
        <v>3.8345601852072046E+94</v>
      </c>
      <c r="JLH53" s="760">
        <f t="shared" si="146"/>
        <v>3.9495969907634211E+94</v>
      </c>
      <c r="JLI53" s="760">
        <f t="shared" si="146"/>
        <v>4.0680849004863238E+94</v>
      </c>
      <c r="JLJ53" s="760">
        <f t="shared" si="146"/>
        <v>4.1901274475009133E+94</v>
      </c>
      <c r="JLK53" s="760">
        <f t="shared" si="146"/>
        <v>4.3158312709259409E+94</v>
      </c>
      <c r="JLL53" s="760">
        <f t="shared" si="146"/>
        <v>4.4453062090537191E+94</v>
      </c>
      <c r="JLM53" s="760">
        <f t="shared" si="146"/>
        <v>4.5786653953253311E+94</v>
      </c>
      <c r="JLN53" s="760">
        <f t="shared" si="146"/>
        <v>4.7160253571850914E+94</v>
      </c>
      <c r="JLO53" s="760">
        <f t="shared" si="146"/>
        <v>4.8575061179006439E+94</v>
      </c>
      <c r="JLP53" s="760">
        <f t="shared" si="146"/>
        <v>5.0032313014376636E+94</v>
      </c>
      <c r="JLQ53" s="760">
        <f t="shared" si="146"/>
        <v>5.1533282404807933E+94</v>
      </c>
      <c r="JLR53" s="760">
        <f t="shared" si="146"/>
        <v>5.3079280876952176E+94</v>
      </c>
      <c r="JLS53" s="760">
        <f t="shared" si="146"/>
        <v>5.4671659303260744E+94</v>
      </c>
      <c r="JLT53" s="760">
        <f t="shared" si="146"/>
        <v>5.6311809082358568E+94</v>
      </c>
      <c r="JLU53" s="760">
        <f t="shared" si="146"/>
        <v>5.8001163354829324E+94</v>
      </c>
      <c r="JLV53" s="760">
        <f t="shared" si="146"/>
        <v>5.9741198255474207E+94</v>
      </c>
      <c r="JLW53" s="760">
        <f t="shared" si="146"/>
        <v>6.1533434203138433E+94</v>
      </c>
      <c r="JLX53" s="760">
        <f t="shared" si="146"/>
        <v>6.3379437229232587E+94</v>
      </c>
      <c r="JLY53" s="760">
        <f t="shared" si="146"/>
        <v>6.5280820346109568E+94</v>
      </c>
      <c r="JLZ53" s="760">
        <f t="shared" si="146"/>
        <v>6.7239244956492858E+94</v>
      </c>
      <c r="JMA53" s="760">
        <f t="shared" si="146"/>
        <v>6.9256422305187648E+94</v>
      </c>
      <c r="JMB53" s="760">
        <f t="shared" si="146"/>
        <v>7.1334114974343281E+94</v>
      </c>
      <c r="JMC53" s="760">
        <f t="shared" si="146"/>
        <v>7.3474138423573583E+94</v>
      </c>
      <c r="JMD53" s="760">
        <f t="shared" si="146"/>
        <v>7.56783625762808E+94</v>
      </c>
      <c r="JME53" s="760">
        <f t="shared" si="146"/>
        <v>7.7948713453569232E+94</v>
      </c>
      <c r="JMF53" s="760">
        <f t="shared" si="146"/>
        <v>8.0287174857176307E+94</v>
      </c>
      <c r="JMG53" s="760">
        <f t="shared" si="146"/>
        <v>8.2695790102891599E+94</v>
      </c>
      <c r="JMH53" s="760">
        <f t="shared" si="146"/>
        <v>8.5176663805978345E+94</v>
      </c>
      <c r="JMI53" s="760">
        <f t="shared" si="146"/>
        <v>8.7731963720157702E+94</v>
      </c>
      <c r="JMJ53" s="760">
        <f t="shared" si="146"/>
        <v>9.036392263176244E+94</v>
      </c>
      <c r="JMK53" s="760">
        <f t="shared" si="146"/>
        <v>9.3074840310715311E+94</v>
      </c>
      <c r="JML53" s="760">
        <f t="shared" si="146"/>
        <v>9.5867085520036779E+94</v>
      </c>
      <c r="JMM53" s="760">
        <f t="shared" ref="JMM53:JOX53" si="147">+JML53*$C$53</f>
        <v>9.8743098085637888E+94</v>
      </c>
      <c r="JMN53" s="760">
        <f t="shared" si="147"/>
        <v>1.0170539102820703E+95</v>
      </c>
      <c r="JMO53" s="760">
        <f t="shared" si="147"/>
        <v>1.0475655275905325E+95</v>
      </c>
      <c r="JMP53" s="760">
        <f t="shared" si="147"/>
        <v>1.0789924934182485E+95</v>
      </c>
      <c r="JMQ53" s="760">
        <f t="shared" si="147"/>
        <v>1.111362268220796E+95</v>
      </c>
      <c r="JMR53" s="760">
        <f t="shared" si="147"/>
        <v>1.1447031362674199E+95</v>
      </c>
      <c r="JMS53" s="760">
        <f t="shared" si="147"/>
        <v>1.1790442303554425E+95</v>
      </c>
      <c r="JMT53" s="760">
        <f t="shared" si="147"/>
        <v>1.2144155572661058E+95</v>
      </c>
      <c r="JMU53" s="760">
        <f t="shared" si="147"/>
        <v>1.2508480239840891E+95</v>
      </c>
      <c r="JMV53" s="760">
        <f t="shared" si="147"/>
        <v>1.2883734647036119E+95</v>
      </c>
      <c r="JMW53" s="760">
        <f t="shared" si="147"/>
        <v>1.3270246686447202E+95</v>
      </c>
      <c r="JMX53" s="760">
        <f t="shared" si="147"/>
        <v>1.3668354087040619E+95</v>
      </c>
      <c r="JMY53" s="760">
        <f t="shared" si="147"/>
        <v>1.4078404709651836E+95</v>
      </c>
      <c r="JMZ53" s="760">
        <f t="shared" si="147"/>
        <v>1.4500756850941391E+95</v>
      </c>
      <c r="JNA53" s="760">
        <f t="shared" si="147"/>
        <v>1.4935779556469633E+95</v>
      </c>
      <c r="JNB53" s="760">
        <f t="shared" si="147"/>
        <v>1.5383852943163721E+95</v>
      </c>
      <c r="JNC53" s="760">
        <f t="shared" si="147"/>
        <v>1.5845368531458632E+95</v>
      </c>
      <c r="JND53" s="760">
        <f t="shared" si="147"/>
        <v>1.6320729587402391E+95</v>
      </c>
      <c r="JNE53" s="760">
        <f t="shared" si="147"/>
        <v>1.6810351475024464E+95</v>
      </c>
      <c r="JNF53" s="760">
        <f t="shared" si="147"/>
        <v>1.7314662019275199E+95</v>
      </c>
      <c r="JNG53" s="760">
        <f t="shared" si="147"/>
        <v>1.7834101879853454E+95</v>
      </c>
      <c r="JNH53" s="760">
        <f t="shared" si="147"/>
        <v>1.8369124936249059E+95</v>
      </c>
      <c r="JNI53" s="760">
        <f t="shared" si="147"/>
        <v>1.8920198684336532E+95</v>
      </c>
      <c r="JNJ53" s="760">
        <f t="shared" si="147"/>
        <v>1.948780464486663E+95</v>
      </c>
      <c r="JNK53" s="760">
        <f t="shared" si="147"/>
        <v>2.007243878421263E+95</v>
      </c>
      <c r="JNL53" s="760">
        <f t="shared" si="147"/>
        <v>2.0674611947739008E+95</v>
      </c>
      <c r="JNM53" s="760">
        <f t="shared" si="147"/>
        <v>2.129485030617118E+95</v>
      </c>
      <c r="JNN53" s="760">
        <f t="shared" si="147"/>
        <v>2.1933695815356315E+95</v>
      </c>
      <c r="JNO53" s="760">
        <f t="shared" si="147"/>
        <v>2.2591706689817006E+95</v>
      </c>
      <c r="JNP53" s="760">
        <f t="shared" si="147"/>
        <v>2.3269457890511517E+95</v>
      </c>
      <c r="JNQ53" s="760">
        <f t="shared" si="147"/>
        <v>2.3967541627226862E+95</v>
      </c>
      <c r="JNR53" s="760">
        <f t="shared" si="147"/>
        <v>2.4686567876043667E+95</v>
      </c>
      <c r="JNS53" s="760">
        <f t="shared" si="147"/>
        <v>2.5427164912324979E+95</v>
      </c>
      <c r="JNT53" s="760">
        <f t="shared" si="147"/>
        <v>2.6189979859694728E+95</v>
      </c>
      <c r="JNU53" s="760">
        <f t="shared" si="147"/>
        <v>2.6975679255485568E+95</v>
      </c>
      <c r="JNV53" s="760">
        <f t="shared" si="147"/>
        <v>2.7784949633150138E+95</v>
      </c>
      <c r="JNW53" s="760">
        <f t="shared" si="147"/>
        <v>2.861849812214464E+95</v>
      </c>
      <c r="JNX53" s="760">
        <f t="shared" si="147"/>
        <v>2.9477053065808982E+95</v>
      </c>
      <c r="JNY53" s="760">
        <f t="shared" si="147"/>
        <v>3.0361364657783252E+95</v>
      </c>
      <c r="JNZ53" s="760">
        <f t="shared" si="147"/>
        <v>3.1272205597516749E+95</v>
      </c>
      <c r="JOA53" s="760">
        <f t="shared" si="147"/>
        <v>3.2210371765442251E+95</v>
      </c>
      <c r="JOB53" s="760">
        <f t="shared" si="147"/>
        <v>3.3176682918405517E+95</v>
      </c>
      <c r="JOC53" s="760">
        <f t="shared" si="147"/>
        <v>3.4171983405957686E+95</v>
      </c>
      <c r="JOD53" s="760">
        <f t="shared" si="147"/>
        <v>3.519714290813642E+95</v>
      </c>
      <c r="JOE53" s="760">
        <f t="shared" si="147"/>
        <v>3.6253057195380516E+95</v>
      </c>
      <c r="JOF53" s="760">
        <f t="shared" si="147"/>
        <v>3.734064891124193E+95</v>
      </c>
      <c r="JOG53" s="760">
        <f t="shared" si="147"/>
        <v>3.8460868378579187E+95</v>
      </c>
      <c r="JOH53" s="760">
        <f t="shared" si="147"/>
        <v>3.9614694429936567E+95</v>
      </c>
      <c r="JOI53" s="760">
        <f t="shared" si="147"/>
        <v>4.0803135262834665E+95</v>
      </c>
      <c r="JOJ53" s="760">
        <f t="shared" si="147"/>
        <v>4.2027229320719705E+95</v>
      </c>
      <c r="JOK53" s="760">
        <f t="shared" si="147"/>
        <v>4.3288046200341296E+95</v>
      </c>
      <c r="JOL53" s="760">
        <f t="shared" si="147"/>
        <v>4.4586687586351536E+95</v>
      </c>
      <c r="JOM53" s="760">
        <f t="shared" si="147"/>
        <v>4.5924288213942084E+95</v>
      </c>
      <c r="JON53" s="760">
        <f t="shared" si="147"/>
        <v>4.7302016860360346E+95</v>
      </c>
      <c r="JOO53" s="760">
        <f t="shared" si="147"/>
        <v>4.8721077366171155E+95</v>
      </c>
      <c r="JOP53" s="760">
        <f t="shared" si="147"/>
        <v>5.0182709687156291E+95</v>
      </c>
      <c r="JOQ53" s="760">
        <f t="shared" si="147"/>
        <v>5.1688190977770984E+95</v>
      </c>
      <c r="JOR53" s="760">
        <f t="shared" si="147"/>
        <v>5.3238836707104115E+95</v>
      </c>
      <c r="JOS53" s="760">
        <f t="shared" si="147"/>
        <v>5.4836001808317239E+95</v>
      </c>
      <c r="JOT53" s="760">
        <f t="shared" si="147"/>
        <v>5.6481081862566762E+95</v>
      </c>
      <c r="JOU53" s="760">
        <f t="shared" si="147"/>
        <v>5.8175514318443768E+95</v>
      </c>
      <c r="JOV53" s="760">
        <f t="shared" si="147"/>
        <v>5.9920779747997079E+95</v>
      </c>
      <c r="JOW53" s="760">
        <f t="shared" si="147"/>
        <v>6.1718403140436992E+95</v>
      </c>
      <c r="JOX53" s="760">
        <f t="shared" si="147"/>
        <v>6.3569955234650103E+95</v>
      </c>
      <c r="JOY53" s="760">
        <f t="shared" ref="JOY53:JRJ53" si="148">+JOX53*$C$53</f>
        <v>6.5477053891689602E+95</v>
      </c>
      <c r="JOZ53" s="760">
        <f t="shared" si="148"/>
        <v>6.7441365508440297E+95</v>
      </c>
      <c r="JPA53" s="760">
        <f t="shared" si="148"/>
        <v>6.9464606473693507E+95</v>
      </c>
      <c r="JPB53" s="760">
        <f t="shared" si="148"/>
        <v>7.1548544667904318E+95</v>
      </c>
      <c r="JPC53" s="760">
        <f t="shared" si="148"/>
        <v>7.3695001007941456E+95</v>
      </c>
      <c r="JPD53" s="760">
        <f t="shared" si="148"/>
        <v>7.5905851038179699E+95</v>
      </c>
      <c r="JPE53" s="760">
        <f t="shared" si="148"/>
        <v>7.8183026569325096E+95</v>
      </c>
      <c r="JPF53" s="760">
        <f t="shared" si="148"/>
        <v>8.0528517366404857E+95</v>
      </c>
      <c r="JPG53" s="760">
        <f t="shared" si="148"/>
        <v>8.2944372887397002E+95</v>
      </c>
      <c r="JPH53" s="760">
        <f t="shared" si="148"/>
        <v>8.5432704074018913E+95</v>
      </c>
      <c r="JPI53" s="760">
        <f t="shared" si="148"/>
        <v>8.7995685196239485E+95</v>
      </c>
      <c r="JPJ53" s="760">
        <f t="shared" si="148"/>
        <v>9.0635555752126675E+95</v>
      </c>
      <c r="JPK53" s="760">
        <f t="shared" si="148"/>
        <v>9.3354622424690474E+95</v>
      </c>
      <c r="JPL53" s="760">
        <f t="shared" si="148"/>
        <v>9.6155261097431187E+95</v>
      </c>
      <c r="JPM53" s="760">
        <f t="shared" si="148"/>
        <v>9.9039918930354123E+95</v>
      </c>
      <c r="JPN53" s="760">
        <f t="shared" si="148"/>
        <v>1.0201111649826476E+96</v>
      </c>
      <c r="JPO53" s="760">
        <f t="shared" si="148"/>
        <v>1.050714499932127E+96</v>
      </c>
      <c r="JPP53" s="760">
        <f t="shared" si="148"/>
        <v>1.082235934930091E+96</v>
      </c>
      <c r="JPQ53" s="760">
        <f t="shared" si="148"/>
        <v>1.1147030129779937E+96</v>
      </c>
      <c r="JPR53" s="760">
        <f t="shared" si="148"/>
        <v>1.1481441033673336E+96</v>
      </c>
      <c r="JPS53" s="760">
        <f t="shared" si="148"/>
        <v>1.1825884264683535E+96</v>
      </c>
      <c r="JPT53" s="760">
        <f t="shared" si="148"/>
        <v>1.2180660792624042E+96</v>
      </c>
      <c r="JPU53" s="760">
        <f t="shared" si="148"/>
        <v>1.2546080616402764E+96</v>
      </c>
      <c r="JPV53" s="760">
        <f t="shared" si="148"/>
        <v>1.2922463034894847E+96</v>
      </c>
      <c r="JPW53" s="760">
        <f t="shared" si="148"/>
        <v>1.3310136925941693E+96</v>
      </c>
      <c r="JPX53" s="760">
        <f t="shared" si="148"/>
        <v>1.3709441033719943E+96</v>
      </c>
      <c r="JPY53" s="760">
        <f t="shared" si="148"/>
        <v>1.4120724264731542E+96</v>
      </c>
      <c r="JPZ53" s="760">
        <f t="shared" si="148"/>
        <v>1.4544345992673488E+96</v>
      </c>
      <c r="JQA53" s="760">
        <f t="shared" si="148"/>
        <v>1.4980676372453694E+96</v>
      </c>
      <c r="JQB53" s="760">
        <f t="shared" si="148"/>
        <v>1.5430096663627304E+96</v>
      </c>
      <c r="JQC53" s="760">
        <f t="shared" si="148"/>
        <v>1.5892999563536124E+96</v>
      </c>
      <c r="JQD53" s="760">
        <f t="shared" si="148"/>
        <v>1.6369789550442207E+96</v>
      </c>
      <c r="JQE53" s="760">
        <f t="shared" si="148"/>
        <v>1.6860883236955474E+96</v>
      </c>
      <c r="JQF53" s="760">
        <f t="shared" si="148"/>
        <v>1.7366709734064139E+96</v>
      </c>
      <c r="JQG53" s="760">
        <f t="shared" si="148"/>
        <v>1.7887711026086063E+96</v>
      </c>
      <c r="JQH53" s="760">
        <f t="shared" si="148"/>
        <v>1.8424342356868646E+96</v>
      </c>
      <c r="JQI53" s="760">
        <f t="shared" si="148"/>
        <v>1.8977072627574706E+96</v>
      </c>
      <c r="JQJ53" s="760">
        <f t="shared" si="148"/>
        <v>1.9546384806401947E+96</v>
      </c>
      <c r="JQK53" s="760">
        <f t="shared" si="148"/>
        <v>2.0132776350594006E+96</v>
      </c>
      <c r="JQL53" s="760">
        <f t="shared" si="148"/>
        <v>2.0736759641111827E+96</v>
      </c>
      <c r="JQM53" s="760">
        <f t="shared" si="148"/>
        <v>2.1358862430345182E+96</v>
      </c>
      <c r="JQN53" s="760">
        <f t="shared" si="148"/>
        <v>2.1999628303255539E+96</v>
      </c>
      <c r="JQO53" s="760">
        <f t="shared" si="148"/>
        <v>2.2659617152353206E+96</v>
      </c>
      <c r="JQP53" s="760">
        <f t="shared" si="148"/>
        <v>2.3339405666923805E+96</v>
      </c>
      <c r="JQQ53" s="760">
        <f t="shared" si="148"/>
        <v>2.4039587836931518E+96</v>
      </c>
      <c r="JQR53" s="760">
        <f t="shared" si="148"/>
        <v>2.4760775472039466E+96</v>
      </c>
      <c r="JQS53" s="760">
        <f t="shared" si="148"/>
        <v>2.5503598736200649E+96</v>
      </c>
      <c r="JQT53" s="760">
        <f t="shared" si="148"/>
        <v>2.626870669828667E+96</v>
      </c>
      <c r="JQU53" s="760">
        <f t="shared" si="148"/>
        <v>2.7056767899235269E+96</v>
      </c>
      <c r="JQV53" s="760">
        <f t="shared" si="148"/>
        <v>2.7868470936212326E+96</v>
      </c>
      <c r="JQW53" s="760">
        <f t="shared" si="148"/>
        <v>2.8704525064298695E+96</v>
      </c>
      <c r="JQX53" s="760">
        <f t="shared" si="148"/>
        <v>2.9565660816227654E+96</v>
      </c>
      <c r="JQY53" s="760">
        <f t="shared" si="148"/>
        <v>3.0452630640714485E+96</v>
      </c>
      <c r="JQZ53" s="760">
        <f t="shared" si="148"/>
        <v>3.1366209559935922E+96</v>
      </c>
      <c r="JRA53" s="760">
        <f t="shared" si="148"/>
        <v>3.2307195846734002E+96</v>
      </c>
      <c r="JRB53" s="760">
        <f t="shared" si="148"/>
        <v>3.3276411722136023E+96</v>
      </c>
      <c r="JRC53" s="760">
        <f t="shared" si="148"/>
        <v>3.4274704073800105E+96</v>
      </c>
      <c r="JRD53" s="760">
        <f t="shared" si="148"/>
        <v>3.5302945196014107E+96</v>
      </c>
      <c r="JRE53" s="760">
        <f t="shared" si="148"/>
        <v>3.6362033551894531E+96</v>
      </c>
      <c r="JRF53" s="760">
        <f t="shared" si="148"/>
        <v>3.7452894558451366E+96</v>
      </c>
      <c r="JRG53" s="760">
        <f t="shared" si="148"/>
        <v>3.857648139520491E+96</v>
      </c>
      <c r="JRH53" s="760">
        <f t="shared" si="148"/>
        <v>3.9733775837061058E+96</v>
      </c>
      <c r="JRI53" s="760">
        <f t="shared" si="148"/>
        <v>4.0925789112172892E+96</v>
      </c>
      <c r="JRJ53" s="760">
        <f t="shared" si="148"/>
        <v>4.2153562785538078E+96</v>
      </c>
      <c r="JRK53" s="760">
        <f t="shared" ref="JRK53:JTV53" si="149">+JRJ53*$C$53</f>
        <v>4.341816966910422E+96</v>
      </c>
      <c r="JRL53" s="760">
        <f t="shared" si="149"/>
        <v>4.4720714759177344E+96</v>
      </c>
      <c r="JRM53" s="760">
        <f t="shared" si="149"/>
        <v>4.6062336201952669E+96</v>
      </c>
      <c r="JRN53" s="760">
        <f t="shared" si="149"/>
        <v>4.7444206288011254E+96</v>
      </c>
      <c r="JRO53" s="760">
        <f t="shared" si="149"/>
        <v>4.8867532476651591E+96</v>
      </c>
      <c r="JRP53" s="760">
        <f t="shared" si="149"/>
        <v>5.0333558450951137E+96</v>
      </c>
      <c r="JRQ53" s="760">
        <f t="shared" si="149"/>
        <v>5.184356520447967E+96</v>
      </c>
      <c r="JRR53" s="760">
        <f t="shared" si="149"/>
        <v>5.3398872160614061E+96</v>
      </c>
      <c r="JRS53" s="760">
        <f t="shared" si="149"/>
        <v>5.5000838325432487E+96</v>
      </c>
      <c r="JRT53" s="760">
        <f t="shared" si="149"/>
        <v>5.6650863475195465E+96</v>
      </c>
      <c r="JRU53" s="760">
        <f t="shared" si="149"/>
        <v>5.8350389379451332E+96</v>
      </c>
      <c r="JRV53" s="760">
        <f t="shared" si="149"/>
        <v>6.0100901060834876E+96</v>
      </c>
      <c r="JRW53" s="760">
        <f t="shared" si="149"/>
        <v>6.1903928092659928E+96</v>
      </c>
      <c r="JRX53" s="760">
        <f t="shared" si="149"/>
        <v>6.3761045935439727E+96</v>
      </c>
      <c r="JRY53" s="760">
        <f t="shared" si="149"/>
        <v>6.567387731350292E+96</v>
      </c>
      <c r="JRZ53" s="760">
        <f t="shared" si="149"/>
        <v>6.7644093632908005E+96</v>
      </c>
      <c r="JSA53" s="760">
        <f t="shared" si="149"/>
        <v>6.9673416441895248E+96</v>
      </c>
      <c r="JSB53" s="760">
        <f t="shared" si="149"/>
        <v>7.176361893515211E+96</v>
      </c>
      <c r="JSC53" s="760">
        <f t="shared" si="149"/>
        <v>7.3916527503206674E+96</v>
      </c>
      <c r="JSD53" s="760">
        <f t="shared" si="149"/>
        <v>7.613402332830288E+96</v>
      </c>
      <c r="JSE53" s="760">
        <f t="shared" si="149"/>
        <v>7.8418044028151969E+96</v>
      </c>
      <c r="JSF53" s="760">
        <f t="shared" si="149"/>
        <v>8.0770585348996535E+96</v>
      </c>
      <c r="JSG53" s="760">
        <f t="shared" si="149"/>
        <v>8.3193702909466431E+96</v>
      </c>
      <c r="JSH53" s="760">
        <f t="shared" si="149"/>
        <v>8.5689513996750419E+96</v>
      </c>
      <c r="JSI53" s="760">
        <f t="shared" si="149"/>
        <v>8.8260199416652935E+96</v>
      </c>
      <c r="JSJ53" s="760">
        <f t="shared" si="149"/>
        <v>9.090800539915252E+96</v>
      </c>
      <c r="JSK53" s="760">
        <f t="shared" si="149"/>
        <v>9.3635245561127091E+96</v>
      </c>
      <c r="JSL53" s="760">
        <f t="shared" si="149"/>
        <v>9.6444302927960907E+96</v>
      </c>
      <c r="JSM53" s="760">
        <f t="shared" si="149"/>
        <v>9.9337632015799741E+96</v>
      </c>
      <c r="JSN53" s="760">
        <f t="shared" si="149"/>
        <v>1.0231776097627373E+97</v>
      </c>
      <c r="JSO53" s="760">
        <f t="shared" si="149"/>
        <v>1.0538729380556195E+97</v>
      </c>
      <c r="JSP53" s="760">
        <f t="shared" si="149"/>
        <v>1.0854891261972881E+97</v>
      </c>
      <c r="JSQ53" s="760">
        <f t="shared" si="149"/>
        <v>1.1180537999832067E+97</v>
      </c>
      <c r="JSR53" s="760">
        <f t="shared" si="149"/>
        <v>1.151595413982703E+97</v>
      </c>
      <c r="JSS53" s="760">
        <f t="shared" si="149"/>
        <v>1.186143276402184E+97</v>
      </c>
      <c r="JST53" s="760">
        <f t="shared" si="149"/>
        <v>1.2217275746942495E+97</v>
      </c>
      <c r="JSU53" s="760">
        <f t="shared" si="149"/>
        <v>1.2583794019350769E+97</v>
      </c>
      <c r="JSV53" s="760">
        <f t="shared" si="149"/>
        <v>1.2961307839931294E+97</v>
      </c>
      <c r="JSW53" s="760">
        <f t="shared" si="149"/>
        <v>1.3350147075129232E+97</v>
      </c>
      <c r="JSX53" s="760">
        <f t="shared" si="149"/>
        <v>1.375065148738311E+97</v>
      </c>
      <c r="JSY53" s="760">
        <f t="shared" si="149"/>
        <v>1.4163171032004604E+97</v>
      </c>
      <c r="JSZ53" s="760">
        <f t="shared" si="149"/>
        <v>1.4588066162964743E+97</v>
      </c>
      <c r="JTA53" s="760">
        <f t="shared" si="149"/>
        <v>1.5025708147853686E+97</v>
      </c>
      <c r="JTB53" s="760">
        <f t="shared" si="149"/>
        <v>1.5476479392289297E+97</v>
      </c>
      <c r="JTC53" s="760">
        <f t="shared" si="149"/>
        <v>1.5940773774057976E+97</v>
      </c>
      <c r="JTD53" s="760">
        <f t="shared" si="149"/>
        <v>1.6418996987279716E+97</v>
      </c>
      <c r="JTE53" s="760">
        <f t="shared" si="149"/>
        <v>1.6911566896898108E+97</v>
      </c>
      <c r="JTF53" s="760">
        <f t="shared" si="149"/>
        <v>1.7418913903805054E+97</v>
      </c>
      <c r="JTG53" s="760">
        <f t="shared" si="149"/>
        <v>1.7941481320919207E+97</v>
      </c>
      <c r="JTH53" s="760">
        <f t="shared" si="149"/>
        <v>1.8479725760546786E+97</v>
      </c>
      <c r="JTI53" s="760">
        <f t="shared" si="149"/>
        <v>1.9034117533363188E+97</v>
      </c>
      <c r="JTJ53" s="760">
        <f t="shared" si="149"/>
        <v>1.9605141059364083E+97</v>
      </c>
      <c r="JTK53" s="760">
        <f t="shared" si="149"/>
        <v>2.0193295291145005E+97</v>
      </c>
      <c r="JTL53" s="760">
        <f t="shared" si="149"/>
        <v>2.0799094149879356E+97</v>
      </c>
      <c r="JTM53" s="760">
        <f t="shared" si="149"/>
        <v>2.1423066974375737E+97</v>
      </c>
      <c r="JTN53" s="760">
        <f t="shared" si="149"/>
        <v>2.2065758983607008E+97</v>
      </c>
      <c r="JTO53" s="760">
        <f t="shared" si="149"/>
        <v>2.2727731753115219E+97</v>
      </c>
      <c r="JTP53" s="760">
        <f t="shared" si="149"/>
        <v>2.3409563705708677E+97</v>
      </c>
      <c r="JTQ53" s="760">
        <f t="shared" si="149"/>
        <v>2.4111850616879939E+97</v>
      </c>
      <c r="JTR53" s="760">
        <f t="shared" si="149"/>
        <v>2.4835206135386338E+97</v>
      </c>
      <c r="JTS53" s="760">
        <f t="shared" si="149"/>
        <v>2.5580262319447928E+97</v>
      </c>
      <c r="JTT53" s="760">
        <f t="shared" si="149"/>
        <v>2.6347670189031366E+97</v>
      </c>
      <c r="JTU53" s="760">
        <f t="shared" si="149"/>
        <v>2.7138100294702307E+97</v>
      </c>
      <c r="JTV53" s="760">
        <f t="shared" si="149"/>
        <v>2.7952243303543377E+97</v>
      </c>
      <c r="JTW53" s="760">
        <f t="shared" ref="JTW53:JWH53" si="150">+JTV53*$C$53</f>
        <v>2.879081060264968E+97</v>
      </c>
      <c r="JTX53" s="760">
        <f t="shared" si="150"/>
        <v>2.9654534920729172E+97</v>
      </c>
      <c r="JTY53" s="760">
        <f t="shared" si="150"/>
        <v>3.0544170968351048E+97</v>
      </c>
      <c r="JTZ53" s="760">
        <f t="shared" si="150"/>
        <v>3.146049609740158E+97</v>
      </c>
      <c r="JUA53" s="760">
        <f t="shared" si="150"/>
        <v>3.2404310980323627E+97</v>
      </c>
      <c r="JUB53" s="760">
        <f t="shared" si="150"/>
        <v>3.3376440309733338E+97</v>
      </c>
      <c r="JUC53" s="760">
        <f t="shared" si="150"/>
        <v>3.4377733519025337E+97</v>
      </c>
      <c r="JUD53" s="760">
        <f t="shared" si="150"/>
        <v>3.5409065524596101E+97</v>
      </c>
      <c r="JUE53" s="760">
        <f t="shared" si="150"/>
        <v>3.6471337490333984E+97</v>
      </c>
      <c r="JUF53" s="760">
        <f t="shared" si="150"/>
        <v>3.7565477615044008E+97</v>
      </c>
      <c r="JUG53" s="760">
        <f t="shared" si="150"/>
        <v>3.8692441943495328E+97</v>
      </c>
      <c r="JUH53" s="760">
        <f t="shared" si="150"/>
        <v>3.9853215201800188E+97</v>
      </c>
      <c r="JUI53" s="760">
        <f t="shared" si="150"/>
        <v>4.1048811657854193E+97</v>
      </c>
      <c r="JUJ53" s="760">
        <f t="shared" si="150"/>
        <v>4.228027600758982E+97</v>
      </c>
      <c r="JUK53" s="760">
        <f t="shared" si="150"/>
        <v>4.3548684287817514E+97</v>
      </c>
      <c r="JUL53" s="760">
        <f t="shared" si="150"/>
        <v>4.4855144816452044E+97</v>
      </c>
      <c r="JUM53" s="760">
        <f t="shared" si="150"/>
        <v>4.6200799160945609E+97</v>
      </c>
      <c r="JUN53" s="760">
        <f t="shared" si="150"/>
        <v>4.7586823135773979E+97</v>
      </c>
      <c r="JUO53" s="760">
        <f t="shared" si="150"/>
        <v>4.9014427829847201E+97</v>
      </c>
      <c r="JUP53" s="760">
        <f t="shared" si="150"/>
        <v>5.0484860664742621E+97</v>
      </c>
      <c r="JUQ53" s="760">
        <f t="shared" si="150"/>
        <v>5.1999406484684903E+97</v>
      </c>
      <c r="JUR53" s="760">
        <f t="shared" si="150"/>
        <v>5.3559388679225451E+97</v>
      </c>
      <c r="JUS53" s="760">
        <f t="shared" si="150"/>
        <v>5.5166170339602218E+97</v>
      </c>
      <c r="JUT53" s="760">
        <f t="shared" si="150"/>
        <v>5.6821155449790283E+97</v>
      </c>
      <c r="JUU53" s="760">
        <f t="shared" si="150"/>
        <v>5.8525790113283997E+97</v>
      </c>
      <c r="JUV53" s="760">
        <f t="shared" si="150"/>
        <v>6.0281563816682521E+97</v>
      </c>
      <c r="JUW53" s="760">
        <f t="shared" si="150"/>
        <v>6.2090010731182994E+97</v>
      </c>
      <c r="JUX53" s="760">
        <f t="shared" si="150"/>
        <v>6.3952711053118489E+97</v>
      </c>
      <c r="JUY53" s="760">
        <f t="shared" si="150"/>
        <v>6.5871292384712046E+97</v>
      </c>
      <c r="JUZ53" s="760">
        <f t="shared" si="150"/>
        <v>6.7847431156253408E+97</v>
      </c>
      <c r="JVA53" s="760">
        <f t="shared" si="150"/>
        <v>6.9882854090941015E+97</v>
      </c>
      <c r="JVB53" s="760">
        <f t="shared" si="150"/>
        <v>7.1979339713669246E+97</v>
      </c>
      <c r="JVC53" s="760">
        <f t="shared" si="150"/>
        <v>7.4138719905079318E+97</v>
      </c>
      <c r="JVD53" s="760">
        <f t="shared" si="150"/>
        <v>7.63628815022317E+97</v>
      </c>
      <c r="JVE53" s="760">
        <f t="shared" si="150"/>
        <v>7.8653767947298654E+97</v>
      </c>
      <c r="JVF53" s="760">
        <f t="shared" si="150"/>
        <v>8.1013380985717617E+97</v>
      </c>
      <c r="JVG53" s="760">
        <f t="shared" si="150"/>
        <v>8.3443782415289141E+97</v>
      </c>
      <c r="JVH53" s="760">
        <f t="shared" si="150"/>
        <v>8.594709588774781E+97</v>
      </c>
      <c r="JVI53" s="760">
        <f t="shared" si="150"/>
        <v>8.8525508764380249E+97</v>
      </c>
      <c r="JVJ53" s="760">
        <f t="shared" si="150"/>
        <v>9.1181274027311657E+97</v>
      </c>
      <c r="JVK53" s="760">
        <f t="shared" si="150"/>
        <v>9.3916712248131015E+97</v>
      </c>
      <c r="JVL53" s="760">
        <f t="shared" si="150"/>
        <v>9.6734213615574951E+97</v>
      </c>
      <c r="JVM53" s="760">
        <f t="shared" si="150"/>
        <v>9.9636240024042206E+97</v>
      </c>
      <c r="JVN53" s="760">
        <f t="shared" si="150"/>
        <v>1.0262532722476348E+98</v>
      </c>
      <c r="JVO53" s="760">
        <f t="shared" si="150"/>
        <v>1.0570408704150638E+98</v>
      </c>
      <c r="JVP53" s="760">
        <f t="shared" si="150"/>
        <v>1.0887520965275158E+98</v>
      </c>
      <c r="JVQ53" s="760">
        <f t="shared" si="150"/>
        <v>1.1214146594233414E+98</v>
      </c>
      <c r="JVR53" s="760">
        <f t="shared" si="150"/>
        <v>1.1550570992060417E+98</v>
      </c>
      <c r="JVS53" s="760">
        <f t="shared" si="150"/>
        <v>1.1897088121822229E+98</v>
      </c>
      <c r="JVT53" s="760">
        <f t="shared" si="150"/>
        <v>1.2254000765476896E+98</v>
      </c>
      <c r="JVU53" s="760">
        <f t="shared" si="150"/>
        <v>1.2621620788441203E+98</v>
      </c>
      <c r="JVV53" s="760">
        <f t="shared" si="150"/>
        <v>1.300026941209444E+98</v>
      </c>
      <c r="JVW53" s="760">
        <f t="shared" si="150"/>
        <v>1.3390277494457274E+98</v>
      </c>
      <c r="JVX53" s="760">
        <f t="shared" si="150"/>
        <v>1.3791985819290993E+98</v>
      </c>
      <c r="JVY53" s="760">
        <f t="shared" si="150"/>
        <v>1.4205745393869724E+98</v>
      </c>
      <c r="JVZ53" s="760">
        <f t="shared" si="150"/>
        <v>1.4631917755685816E+98</v>
      </c>
      <c r="JWA53" s="760">
        <f t="shared" si="150"/>
        <v>1.5070875288356391E+98</v>
      </c>
      <c r="JWB53" s="760">
        <f t="shared" si="150"/>
        <v>1.5523001547007083E+98</v>
      </c>
      <c r="JWC53" s="760">
        <f t="shared" si="150"/>
        <v>1.5988691593417296E+98</v>
      </c>
      <c r="JWD53" s="760">
        <f t="shared" si="150"/>
        <v>1.6468352341219815E+98</v>
      </c>
      <c r="JWE53" s="760">
        <f t="shared" si="150"/>
        <v>1.696240291145641E+98</v>
      </c>
      <c r="JWF53" s="760">
        <f t="shared" si="150"/>
        <v>1.7471274998800103E+98</v>
      </c>
      <c r="JWG53" s="760">
        <f t="shared" si="150"/>
        <v>1.7995413248764108E+98</v>
      </c>
      <c r="JWH53" s="760">
        <f t="shared" si="150"/>
        <v>1.853527564622703E+98</v>
      </c>
      <c r="JWI53" s="760">
        <f t="shared" ref="JWI53:JYT53" si="151">+JWH53*$C$53</f>
        <v>1.909133391561384E+98</v>
      </c>
      <c r="JWJ53" s="760">
        <f t="shared" si="151"/>
        <v>1.9664073933082256E+98</v>
      </c>
      <c r="JWK53" s="760">
        <f t="shared" si="151"/>
        <v>2.0253996151074723E+98</v>
      </c>
      <c r="JWL53" s="760">
        <f t="shared" si="151"/>
        <v>2.0861616035606964E+98</v>
      </c>
      <c r="JWM53" s="760">
        <f t="shared" si="151"/>
        <v>2.1487464516675174E+98</v>
      </c>
      <c r="JWN53" s="760">
        <f t="shared" si="151"/>
        <v>2.2132088452175431E+98</v>
      </c>
      <c r="JWO53" s="760">
        <f t="shared" si="151"/>
        <v>2.2796051105740694E+98</v>
      </c>
      <c r="JWP53" s="760">
        <f t="shared" si="151"/>
        <v>2.3479932638912916E+98</v>
      </c>
      <c r="JWQ53" s="760">
        <f t="shared" si="151"/>
        <v>2.4184330618080304E+98</v>
      </c>
      <c r="JWR53" s="760">
        <f t="shared" si="151"/>
        <v>2.4909860536622715E+98</v>
      </c>
      <c r="JWS53" s="760">
        <f t="shared" si="151"/>
        <v>2.5657156352721396E+98</v>
      </c>
      <c r="JWT53" s="760">
        <f t="shared" si="151"/>
        <v>2.6426871043303037E+98</v>
      </c>
      <c r="JWU53" s="760">
        <f t="shared" si="151"/>
        <v>2.7219677174602128E+98</v>
      </c>
      <c r="JWV53" s="760">
        <f t="shared" si="151"/>
        <v>2.8036267489840194E+98</v>
      </c>
      <c r="JWW53" s="760">
        <f t="shared" si="151"/>
        <v>2.8877355514535398E+98</v>
      </c>
      <c r="JWX53" s="760">
        <f t="shared" si="151"/>
        <v>2.9743676179971462E+98</v>
      </c>
      <c r="JWY53" s="760">
        <f t="shared" si="151"/>
        <v>3.0635986465370607E+98</v>
      </c>
      <c r="JWZ53" s="760">
        <f t="shared" si="151"/>
        <v>3.1555066059331725E+98</v>
      </c>
      <c r="JXA53" s="760">
        <f t="shared" si="151"/>
        <v>3.2501718041111678E+98</v>
      </c>
      <c r="JXB53" s="760">
        <f t="shared" si="151"/>
        <v>3.3476769582345032E+98</v>
      </c>
      <c r="JXC53" s="760">
        <f t="shared" si="151"/>
        <v>3.4481072669815384E+98</v>
      </c>
      <c r="JXD53" s="760">
        <f t="shared" si="151"/>
        <v>3.5515504849909849E+98</v>
      </c>
      <c r="JXE53" s="760">
        <f t="shared" si="151"/>
        <v>3.6580969995407148E+98</v>
      </c>
      <c r="JXF53" s="760">
        <f t="shared" si="151"/>
        <v>3.7678399095269363E+98</v>
      </c>
      <c r="JXG53" s="760">
        <f t="shared" si="151"/>
        <v>3.8808751068127446E+98</v>
      </c>
      <c r="JXH53" s="760">
        <f t="shared" si="151"/>
        <v>3.9973013600171267E+98</v>
      </c>
      <c r="JXI53" s="760">
        <f t="shared" si="151"/>
        <v>4.1172204008176408E+98</v>
      </c>
      <c r="JXJ53" s="760">
        <f t="shared" si="151"/>
        <v>4.2407370128421701E+98</v>
      </c>
      <c r="JXK53" s="760">
        <f t="shared" si="151"/>
        <v>4.3679591232274355E+98</v>
      </c>
      <c r="JXL53" s="760">
        <f t="shared" si="151"/>
        <v>4.4989978969242587E+98</v>
      </c>
      <c r="JXM53" s="760">
        <f t="shared" si="151"/>
        <v>4.6339678338319868E+98</v>
      </c>
      <c r="JXN53" s="760">
        <f t="shared" si="151"/>
        <v>4.7729868688469466E+98</v>
      </c>
      <c r="JXO53" s="760">
        <f t="shared" si="151"/>
        <v>4.9161764749123552E+98</v>
      </c>
      <c r="JXP53" s="760">
        <f t="shared" si="151"/>
        <v>5.0636617691597259E+98</v>
      </c>
      <c r="JXQ53" s="760">
        <f t="shared" si="151"/>
        <v>5.2155716222345179E+98</v>
      </c>
      <c r="JXR53" s="760">
        <f t="shared" si="151"/>
        <v>5.3720387709015535E+98</v>
      </c>
      <c r="JXS53" s="760">
        <f t="shared" si="151"/>
        <v>5.5331999340286004E+98</v>
      </c>
      <c r="JXT53" s="760">
        <f t="shared" si="151"/>
        <v>5.6991959320494584E+98</v>
      </c>
      <c r="JXU53" s="760">
        <f t="shared" si="151"/>
        <v>5.8701718100109418E+98</v>
      </c>
      <c r="JXV53" s="760">
        <f t="shared" si="151"/>
        <v>6.0462769643112702E+98</v>
      </c>
      <c r="JXW53" s="760">
        <f t="shared" si="151"/>
        <v>6.2276652732406087E+98</v>
      </c>
      <c r="JXX53" s="760">
        <f t="shared" si="151"/>
        <v>6.4144952314378273E+98</v>
      </c>
      <c r="JXY53" s="760">
        <f t="shared" si="151"/>
        <v>6.6069300883809628E+98</v>
      </c>
      <c r="JXZ53" s="760">
        <f t="shared" si="151"/>
        <v>6.8051379910323923E+98</v>
      </c>
      <c r="JYA53" s="760">
        <f t="shared" si="151"/>
        <v>7.0092921307633643E+98</v>
      </c>
      <c r="JYB53" s="760">
        <f t="shared" si="151"/>
        <v>7.2195708946862658E+98</v>
      </c>
      <c r="JYC53" s="760">
        <f t="shared" si="151"/>
        <v>7.4361580215268538E+98</v>
      </c>
      <c r="JYD53" s="760">
        <f t="shared" si="151"/>
        <v>7.6592427621726597E+98</v>
      </c>
      <c r="JYE53" s="760">
        <f t="shared" si="151"/>
        <v>7.8890200450378398E+98</v>
      </c>
      <c r="JYF53" s="760">
        <f t="shared" si="151"/>
        <v>8.1256906463889754E+98</v>
      </c>
      <c r="JYG53" s="760">
        <f t="shared" si="151"/>
        <v>8.3694613657806447E+98</v>
      </c>
      <c r="JYH53" s="760">
        <f t="shared" si="151"/>
        <v>8.6205452067540648E+98</v>
      </c>
      <c r="JYI53" s="760">
        <f t="shared" si="151"/>
        <v>8.879161562956687E+98</v>
      </c>
      <c r="JYJ53" s="760">
        <f t="shared" si="151"/>
        <v>9.1455364098453884E+98</v>
      </c>
      <c r="JYK53" s="760">
        <f t="shared" si="151"/>
        <v>9.4199025021407501E+98</v>
      </c>
      <c r="JYL53" s="760">
        <f t="shared" si="151"/>
        <v>9.7024995772049729E+98</v>
      </c>
      <c r="JYM53" s="760">
        <f t="shared" si="151"/>
        <v>9.9935745645211225E+98</v>
      </c>
      <c r="JYN53" s="760">
        <f t="shared" si="151"/>
        <v>1.0293381801456757E+99</v>
      </c>
      <c r="JYO53" s="760">
        <f t="shared" si="151"/>
        <v>1.0602183255500459E+99</v>
      </c>
      <c r="JYP53" s="760">
        <f t="shared" si="151"/>
        <v>1.0920248753165473E+99</v>
      </c>
      <c r="JYQ53" s="760">
        <f t="shared" si="151"/>
        <v>1.1247856215760438E+99</v>
      </c>
      <c r="JYR53" s="760">
        <f t="shared" si="151"/>
        <v>1.1585291902233252E+99</v>
      </c>
      <c r="JYS53" s="760">
        <f t="shared" si="151"/>
        <v>1.193285065930025E+99</v>
      </c>
      <c r="JYT53" s="760">
        <f t="shared" si="151"/>
        <v>1.2290836179079258E+99</v>
      </c>
      <c r="JYU53" s="760">
        <f t="shared" ref="JYU53:KBF53" si="152">+JYT53*$C$53</f>
        <v>1.2659561264451637E+99</v>
      </c>
      <c r="JYV53" s="760">
        <f t="shared" si="152"/>
        <v>1.3039348102385187E+99</v>
      </c>
      <c r="JYW53" s="760">
        <f t="shared" si="152"/>
        <v>1.3430528545456743E+99</v>
      </c>
      <c r="JYX53" s="760">
        <f t="shared" si="152"/>
        <v>1.3833444401820445E+99</v>
      </c>
      <c r="JYY53" s="760">
        <f t="shared" si="152"/>
        <v>1.4248447733875059E+99</v>
      </c>
      <c r="JYZ53" s="760">
        <f t="shared" si="152"/>
        <v>1.4675901165891311E+99</v>
      </c>
      <c r="JZA53" s="760">
        <f t="shared" si="152"/>
        <v>1.5116178200868051E+99</v>
      </c>
      <c r="JZB53" s="760">
        <f t="shared" si="152"/>
        <v>1.5569663546894093E+99</v>
      </c>
      <c r="JZC53" s="760">
        <f t="shared" si="152"/>
        <v>1.6036753453300916E+99</v>
      </c>
      <c r="JZD53" s="760">
        <f t="shared" si="152"/>
        <v>1.6517856056899943E+99</v>
      </c>
      <c r="JZE53" s="760">
        <f t="shared" si="152"/>
        <v>1.7013391738606941E+99</v>
      </c>
      <c r="JZF53" s="760">
        <f t="shared" si="152"/>
        <v>1.7523793490765149E+99</v>
      </c>
      <c r="JZG53" s="760">
        <f t="shared" si="152"/>
        <v>1.8049507295488105E+99</v>
      </c>
      <c r="JZH53" s="760">
        <f t="shared" si="152"/>
        <v>1.8590992514352748E+99</v>
      </c>
      <c r="JZI53" s="760">
        <f t="shared" si="152"/>
        <v>1.9148722289783331E+99</v>
      </c>
      <c r="JZJ53" s="760">
        <f t="shared" si="152"/>
        <v>1.9723183958476832E+99</v>
      </c>
      <c r="JZK53" s="760">
        <f t="shared" si="152"/>
        <v>2.0314879477231138E+99</v>
      </c>
      <c r="JZL53" s="760">
        <f t="shared" si="152"/>
        <v>2.0924325861548073E+99</v>
      </c>
      <c r="JZM53" s="760">
        <f t="shared" si="152"/>
        <v>2.1552055637394517E+99</v>
      </c>
      <c r="JZN53" s="760">
        <f t="shared" si="152"/>
        <v>2.2198617306516351E+99</v>
      </c>
      <c r="JZO53" s="760">
        <f t="shared" si="152"/>
        <v>2.2864575825711844E+99</v>
      </c>
      <c r="JZP53" s="760">
        <f t="shared" si="152"/>
        <v>2.3550513100483198E+99</v>
      </c>
      <c r="JZQ53" s="760">
        <f t="shared" si="152"/>
        <v>2.4257028493497693E+99</v>
      </c>
      <c r="JZR53" s="760">
        <f t="shared" si="152"/>
        <v>2.4984739348302626E+99</v>
      </c>
      <c r="JZS53" s="760">
        <f t="shared" si="152"/>
        <v>2.5734281528751705E+99</v>
      </c>
      <c r="JZT53" s="760">
        <f t="shared" si="152"/>
        <v>2.6506309974614255E+99</v>
      </c>
      <c r="JZU53" s="760">
        <f t="shared" si="152"/>
        <v>2.7301499273852681E+99</v>
      </c>
      <c r="JZV53" s="760">
        <f t="shared" si="152"/>
        <v>2.8120544252068264E+99</v>
      </c>
      <c r="JZW53" s="760">
        <f t="shared" si="152"/>
        <v>2.8964160579630314E+99</v>
      </c>
      <c r="JZX53" s="760">
        <f t="shared" si="152"/>
        <v>2.9833085397019223E+99</v>
      </c>
      <c r="JZY53" s="760">
        <f t="shared" si="152"/>
        <v>3.07280779589298E+99</v>
      </c>
      <c r="JZZ53" s="760">
        <f t="shared" si="152"/>
        <v>3.1649920297697693E+99</v>
      </c>
      <c r="KAA53" s="760">
        <f t="shared" si="152"/>
        <v>3.2599417906628626E+99</v>
      </c>
      <c r="KAB53" s="760">
        <f t="shared" si="152"/>
        <v>3.3577400443827488E+99</v>
      </c>
      <c r="KAC53" s="760">
        <f t="shared" si="152"/>
        <v>3.4584722457142315E+99</v>
      </c>
      <c r="KAD53" s="760">
        <f t="shared" si="152"/>
        <v>3.5622264130856584E+99</v>
      </c>
      <c r="KAE53" s="760">
        <f t="shared" si="152"/>
        <v>3.6690932054782284E+99</v>
      </c>
      <c r="KAF53" s="760">
        <f t="shared" si="152"/>
        <v>3.7791660016425755E+99</v>
      </c>
      <c r="KAG53" s="760">
        <f t="shared" si="152"/>
        <v>3.8925409816918531E+99</v>
      </c>
      <c r="KAH53" s="760">
        <f t="shared" si="152"/>
        <v>4.0093172111426088E+99</v>
      </c>
      <c r="KAI53" s="760">
        <f t="shared" si="152"/>
        <v>4.129596727476887E+99</v>
      </c>
      <c r="KAJ53" s="760">
        <f t="shared" si="152"/>
        <v>4.2534846293011937E+99</v>
      </c>
      <c r="KAK53" s="760">
        <f t="shared" si="152"/>
        <v>4.3810891681802297E+99</v>
      </c>
      <c r="KAL53" s="760">
        <f t="shared" si="152"/>
        <v>4.5125218432256367E+99</v>
      </c>
      <c r="KAM53" s="760">
        <f t="shared" si="152"/>
        <v>4.6478974985224055E+99</v>
      </c>
      <c r="KAN53" s="760">
        <f t="shared" si="152"/>
        <v>4.7873344234780778E+99</v>
      </c>
      <c r="KAO53" s="760">
        <f t="shared" si="152"/>
        <v>4.9309544561824203E+99</v>
      </c>
      <c r="KAP53" s="760">
        <f t="shared" si="152"/>
        <v>5.0788830898678928E+99</v>
      </c>
      <c r="KAQ53" s="760">
        <f t="shared" si="152"/>
        <v>5.2312495825639298E+99</v>
      </c>
      <c r="KAR53" s="760">
        <f t="shared" si="152"/>
        <v>5.3881870700408482E+99</v>
      </c>
      <c r="KAS53" s="760">
        <f t="shared" si="152"/>
        <v>5.549832682142074E+99</v>
      </c>
      <c r="KAT53" s="760">
        <f t="shared" si="152"/>
        <v>5.7163276626063364E+99</v>
      </c>
      <c r="KAU53" s="760">
        <f t="shared" si="152"/>
        <v>5.8878174924845268E+99</v>
      </c>
      <c r="KAV53" s="760">
        <f t="shared" si="152"/>
        <v>6.0644520172590625E+99</v>
      </c>
      <c r="KAW53" s="760">
        <f t="shared" si="152"/>
        <v>6.2463855777768348E+99</v>
      </c>
      <c r="KAX53" s="760">
        <f t="shared" si="152"/>
        <v>6.4337771451101402E+99</v>
      </c>
      <c r="KAY53" s="760">
        <f t="shared" si="152"/>
        <v>6.6267904594634445E+99</v>
      </c>
      <c r="KAZ53" s="760">
        <f t="shared" si="152"/>
        <v>6.8255941732473475E+99</v>
      </c>
      <c r="KBA53" s="760">
        <f t="shared" si="152"/>
        <v>7.0303619984447681E+99</v>
      </c>
      <c r="KBB53" s="760">
        <f t="shared" si="152"/>
        <v>7.2412728583981112E+99</v>
      </c>
      <c r="KBC53" s="760">
        <f t="shared" si="152"/>
        <v>7.4585110441500543E+99</v>
      </c>
      <c r="KBD53" s="760">
        <f t="shared" si="152"/>
        <v>7.6822663754745566E+99</v>
      </c>
      <c r="KBE53" s="760">
        <f t="shared" si="152"/>
        <v>7.9127343667387937E+99</v>
      </c>
      <c r="KBF53" s="760">
        <f t="shared" si="152"/>
        <v>8.1501163977409578E+99</v>
      </c>
      <c r="KBG53" s="760">
        <f t="shared" ref="KBG53:KDR53" si="153">+KBF53*$C$53</f>
        <v>8.3946198896731867E+99</v>
      </c>
      <c r="KBH53" s="760">
        <f t="shared" si="153"/>
        <v>8.6464584863633825E+99</v>
      </c>
      <c r="KBI53" s="760">
        <f t="shared" si="153"/>
        <v>8.9058522409542845E+99</v>
      </c>
      <c r="KBJ53" s="760">
        <f t="shared" si="153"/>
        <v>9.1730278081829125E+99</v>
      </c>
      <c r="KBK53" s="760">
        <f t="shared" si="153"/>
        <v>9.4482186424284005E+99</v>
      </c>
      <c r="KBL53" s="760">
        <f t="shared" si="153"/>
        <v>9.7316652017012527E+99</v>
      </c>
      <c r="KBM53" s="760">
        <f t="shared" si="153"/>
        <v>1.0023615157752291E+100</v>
      </c>
      <c r="KBN53" s="760">
        <f t="shared" si="153"/>
        <v>1.032432361248486E+100</v>
      </c>
      <c r="KBO53" s="760">
        <f t="shared" si="153"/>
        <v>1.0634053320859406E+100</v>
      </c>
      <c r="KBP53" s="760">
        <f t="shared" si="153"/>
        <v>1.0953074920485189E+100</v>
      </c>
      <c r="KBQ53" s="760">
        <f t="shared" si="153"/>
        <v>1.1281667168099745E+100</v>
      </c>
      <c r="KBR53" s="760">
        <f t="shared" si="153"/>
        <v>1.1620117183142739E+100</v>
      </c>
      <c r="KBS53" s="760">
        <f t="shared" si="153"/>
        <v>1.1968720698637022E+100</v>
      </c>
      <c r="KBT53" s="760">
        <f t="shared" si="153"/>
        <v>1.2327782319596132E+100</v>
      </c>
      <c r="KBU53" s="760">
        <f t="shared" si="153"/>
        <v>1.2697615789184017E+100</v>
      </c>
      <c r="KBV53" s="760">
        <f t="shared" si="153"/>
        <v>1.3078544262859537E+100</v>
      </c>
      <c r="KBW53" s="760">
        <f t="shared" si="153"/>
        <v>1.3470900590745325E+100</v>
      </c>
      <c r="KBX53" s="760">
        <f t="shared" si="153"/>
        <v>1.3875027608467686E+100</v>
      </c>
      <c r="KBY53" s="760">
        <f t="shared" si="153"/>
        <v>1.4291278436721717E+100</v>
      </c>
      <c r="KBZ53" s="760">
        <f t="shared" si="153"/>
        <v>1.4720016789823368E+100</v>
      </c>
      <c r="KCA53" s="760">
        <f t="shared" si="153"/>
        <v>1.5161617293518069E+100</v>
      </c>
      <c r="KCB53" s="760">
        <f t="shared" si="153"/>
        <v>1.5616465812323611E+100</v>
      </c>
      <c r="KCC53" s="760">
        <f t="shared" si="153"/>
        <v>1.6084959786693319E+100</v>
      </c>
      <c r="KCD53" s="760">
        <f t="shared" si="153"/>
        <v>1.6567508580294119E+100</v>
      </c>
      <c r="KCE53" s="760">
        <f t="shared" si="153"/>
        <v>1.7064533837702942E+100</v>
      </c>
      <c r="KCF53" s="760">
        <f t="shared" si="153"/>
        <v>1.757646985283403E+100</v>
      </c>
      <c r="KCG53" s="760">
        <f t="shared" si="153"/>
        <v>1.8103763948419052E+100</v>
      </c>
      <c r="KCH53" s="760">
        <f t="shared" si="153"/>
        <v>1.8646876866871622E+100</v>
      </c>
      <c r="KCI53" s="760">
        <f t="shared" si="153"/>
        <v>1.920628317287777E+100</v>
      </c>
      <c r="KCJ53" s="760">
        <f t="shared" si="153"/>
        <v>1.9782471668064105E+100</v>
      </c>
      <c r="KCK53" s="760">
        <f t="shared" si="153"/>
        <v>2.037594581810603E+100</v>
      </c>
      <c r="KCL53" s="760">
        <f t="shared" si="153"/>
        <v>2.0987224192649213E+100</v>
      </c>
      <c r="KCM53" s="760">
        <f t="shared" si="153"/>
        <v>2.161684091842869E+100</v>
      </c>
      <c r="KCN53" s="760">
        <f t="shared" si="153"/>
        <v>2.2265346145981551E+100</v>
      </c>
      <c r="KCO53" s="760">
        <f t="shared" si="153"/>
        <v>2.2933306530360997E+100</v>
      </c>
      <c r="KCP53" s="760">
        <f t="shared" si="153"/>
        <v>2.3621305726271828E+100</v>
      </c>
      <c r="KCQ53" s="760">
        <f t="shared" si="153"/>
        <v>2.4329944898059984E+100</v>
      </c>
      <c r="KCR53" s="760">
        <f t="shared" si="153"/>
        <v>2.5059843245001786E+100</v>
      </c>
      <c r="KCS53" s="760">
        <f t="shared" si="153"/>
        <v>2.5811638542351839E+100</v>
      </c>
      <c r="KCT53" s="760">
        <f t="shared" si="153"/>
        <v>2.6585987698622394E+100</v>
      </c>
      <c r="KCU53" s="760">
        <f t="shared" si="153"/>
        <v>2.7383567329581066E+100</v>
      </c>
      <c r="KCV53" s="760">
        <f t="shared" si="153"/>
        <v>2.8205074349468499E+100</v>
      </c>
      <c r="KCW53" s="760">
        <f t="shared" si="153"/>
        <v>2.9051226579952554E+100</v>
      </c>
      <c r="KCX53" s="760">
        <f t="shared" si="153"/>
        <v>2.992276337735113E+100</v>
      </c>
      <c r="KCY53" s="760">
        <f t="shared" si="153"/>
        <v>3.0820446278671665E+100</v>
      </c>
      <c r="KCZ53" s="760">
        <f t="shared" si="153"/>
        <v>3.1745059667031815E+100</v>
      </c>
      <c r="KDA53" s="760">
        <f t="shared" si="153"/>
        <v>3.2697411457042771E+100</v>
      </c>
      <c r="KDB53" s="760">
        <f t="shared" si="153"/>
        <v>3.3678333800754054E+100</v>
      </c>
      <c r="KDC53" s="760">
        <f t="shared" si="153"/>
        <v>3.4688683814776677E+100</v>
      </c>
      <c r="KDD53" s="760">
        <f t="shared" si="153"/>
        <v>3.5729344329219974E+100</v>
      </c>
      <c r="KDE53" s="760">
        <f t="shared" si="153"/>
        <v>3.6801224659096577E+100</v>
      </c>
      <c r="KDF53" s="760">
        <f t="shared" si="153"/>
        <v>3.7905261398869475E+100</v>
      </c>
      <c r="KDG53" s="760">
        <f t="shared" si="153"/>
        <v>3.9042419240835559E+100</v>
      </c>
      <c r="KDH53" s="760">
        <f t="shared" si="153"/>
        <v>4.0213691818060627E+100</v>
      </c>
      <c r="KDI53" s="760">
        <f t="shared" si="153"/>
        <v>4.1420102572602448E+100</v>
      </c>
      <c r="KDJ53" s="760">
        <f t="shared" si="153"/>
        <v>4.2662705649780522E+100</v>
      </c>
      <c r="KDK53" s="760">
        <f t="shared" si="153"/>
        <v>4.3942586819273936E+100</v>
      </c>
      <c r="KDL53" s="760">
        <f t="shared" si="153"/>
        <v>4.5260864423852158E+100</v>
      </c>
      <c r="KDM53" s="760">
        <f t="shared" si="153"/>
        <v>4.6618690356567724E+100</v>
      </c>
      <c r="KDN53" s="760">
        <f t="shared" si="153"/>
        <v>4.8017251067264759E+100</v>
      </c>
      <c r="KDO53" s="760">
        <f t="shared" si="153"/>
        <v>4.9457768599282702E+100</v>
      </c>
      <c r="KDP53" s="760">
        <f t="shared" si="153"/>
        <v>5.0941501657261188E+100</v>
      </c>
      <c r="KDQ53" s="760">
        <f t="shared" si="153"/>
        <v>5.2469746706979025E+100</v>
      </c>
      <c r="KDR53" s="760">
        <f t="shared" si="153"/>
        <v>5.4043839108188394E+100</v>
      </c>
      <c r="KDS53" s="760">
        <f t="shared" ref="KDS53:KGD53" si="154">+KDR53*$C$53</f>
        <v>5.5665154281434045E+100</v>
      </c>
      <c r="KDT53" s="760">
        <f t="shared" si="154"/>
        <v>5.733510890987707E+100</v>
      </c>
      <c r="KDU53" s="760">
        <f t="shared" si="154"/>
        <v>5.905516217717338E+100</v>
      </c>
      <c r="KDV53" s="760">
        <f t="shared" si="154"/>
        <v>6.0826817042488585E+100</v>
      </c>
      <c r="KDW53" s="760">
        <f t="shared" si="154"/>
        <v>6.2651621553763242E+100</v>
      </c>
      <c r="KDX53" s="760">
        <f t="shared" si="154"/>
        <v>6.4531170200376143E+100</v>
      </c>
      <c r="KDY53" s="760">
        <f t="shared" si="154"/>
        <v>6.6467105306387431E+100</v>
      </c>
      <c r="KDZ53" s="760">
        <f t="shared" si="154"/>
        <v>6.8461118465579054E+100</v>
      </c>
      <c r="KEA53" s="760">
        <f t="shared" si="154"/>
        <v>7.0514952019546434E+100</v>
      </c>
      <c r="KEB53" s="760">
        <f t="shared" si="154"/>
        <v>7.2630400580132822E+100</v>
      </c>
      <c r="KEC53" s="760">
        <f t="shared" si="154"/>
        <v>7.4809312597536804E+100</v>
      </c>
      <c r="KED53" s="760">
        <f t="shared" si="154"/>
        <v>7.7053591975462904E+100</v>
      </c>
      <c r="KEE53" s="760">
        <f t="shared" si="154"/>
        <v>7.9365199734726789E+100</v>
      </c>
      <c r="KEF53" s="760">
        <f t="shared" si="154"/>
        <v>8.1746155726768592E+100</v>
      </c>
      <c r="KEG53" s="760">
        <f t="shared" si="154"/>
        <v>8.4198540398571647E+100</v>
      </c>
      <c r="KEH53" s="760">
        <f t="shared" si="154"/>
        <v>8.6724496610528793E+100</v>
      </c>
      <c r="KEI53" s="760">
        <f t="shared" si="154"/>
        <v>8.9326231508844662E+100</v>
      </c>
      <c r="KEJ53" s="760">
        <f t="shared" si="154"/>
        <v>9.2006018454109997E+100</v>
      </c>
      <c r="KEK53" s="760">
        <f t="shared" si="154"/>
        <v>9.4766199007733296E+100</v>
      </c>
      <c r="KEL53" s="760">
        <f t="shared" si="154"/>
        <v>9.76091849779653E+100</v>
      </c>
      <c r="KEM53" s="760">
        <f t="shared" si="154"/>
        <v>1.0053746052730426E+101</v>
      </c>
      <c r="KEN53" s="760">
        <f t="shared" si="154"/>
        <v>1.0355358434312339E+101</v>
      </c>
      <c r="KEO53" s="760">
        <f t="shared" si="154"/>
        <v>1.066601918734171E+101</v>
      </c>
      <c r="KEP53" s="760">
        <f t="shared" si="154"/>
        <v>1.0985999762961962E+101</v>
      </c>
      <c r="KEQ53" s="760">
        <f t="shared" si="154"/>
        <v>1.1315579755850821E+101</v>
      </c>
      <c r="KER53" s="760">
        <f t="shared" si="154"/>
        <v>1.1655047148526346E+101</v>
      </c>
      <c r="KES53" s="760">
        <f t="shared" si="154"/>
        <v>1.2004698562982137E+101</v>
      </c>
      <c r="KET53" s="760">
        <f t="shared" si="154"/>
        <v>1.2364839519871601E+101</v>
      </c>
      <c r="KEU53" s="760">
        <f t="shared" si="154"/>
        <v>1.273578470546775E+101</v>
      </c>
      <c r="KEV53" s="760">
        <f t="shared" si="154"/>
        <v>1.3117858246631782E+101</v>
      </c>
      <c r="KEW53" s="760">
        <f t="shared" si="154"/>
        <v>1.3511393994030735E+101</v>
      </c>
      <c r="KEX53" s="760">
        <f t="shared" si="154"/>
        <v>1.3916735813851657E+101</v>
      </c>
      <c r="KEY53" s="760">
        <f t="shared" si="154"/>
        <v>1.4334237888267207E+101</v>
      </c>
      <c r="KEZ53" s="760">
        <f t="shared" si="154"/>
        <v>1.4764265024915222E+101</v>
      </c>
      <c r="KFA53" s="760">
        <f t="shared" si="154"/>
        <v>1.520719297566268E+101</v>
      </c>
      <c r="KFB53" s="760">
        <f t="shared" si="154"/>
        <v>1.5663408764932562E+101</v>
      </c>
      <c r="KFC53" s="760">
        <f t="shared" si="154"/>
        <v>1.613331102788054E+101</v>
      </c>
      <c r="KFD53" s="760">
        <f t="shared" si="154"/>
        <v>1.6617310358716957E+101</v>
      </c>
      <c r="KFE53" s="760">
        <f t="shared" si="154"/>
        <v>1.7115829669478468E+101</v>
      </c>
      <c r="KFF53" s="760">
        <f t="shared" si="154"/>
        <v>1.7629304559562821E+101</v>
      </c>
      <c r="KFG53" s="760">
        <f t="shared" si="154"/>
        <v>1.8158183696349705E+101</v>
      </c>
      <c r="KFH53" s="760">
        <f t="shared" si="154"/>
        <v>1.8702929207240197E+101</v>
      </c>
      <c r="KFI53" s="760">
        <f t="shared" si="154"/>
        <v>1.9264017083457405E+101</v>
      </c>
      <c r="KFJ53" s="760">
        <f t="shared" si="154"/>
        <v>1.9841937595961128E+101</v>
      </c>
      <c r="KFK53" s="760">
        <f t="shared" si="154"/>
        <v>2.0437195723839964E+101</v>
      </c>
      <c r="KFL53" s="760">
        <f t="shared" si="154"/>
        <v>2.1050311595555163E+101</v>
      </c>
      <c r="KFM53" s="760">
        <f t="shared" si="154"/>
        <v>2.1681820943421818E+101</v>
      </c>
      <c r="KFN53" s="760">
        <f t="shared" si="154"/>
        <v>2.2332275571724473E+101</v>
      </c>
      <c r="KFO53" s="760">
        <f t="shared" si="154"/>
        <v>2.3002243838876209E+101</v>
      </c>
      <c r="KFP53" s="760">
        <f t="shared" si="154"/>
        <v>2.3692311154042497E+101</v>
      </c>
      <c r="KFQ53" s="760">
        <f t="shared" si="154"/>
        <v>2.4403080488663771E+101</v>
      </c>
      <c r="KFR53" s="760">
        <f t="shared" si="154"/>
        <v>2.5135172903323683E+101</v>
      </c>
      <c r="KFS53" s="760">
        <f t="shared" si="154"/>
        <v>2.5889228090423393E+101</v>
      </c>
      <c r="KFT53" s="760">
        <f t="shared" si="154"/>
        <v>2.6665904933136096E+101</v>
      </c>
      <c r="KFU53" s="760">
        <f t="shared" si="154"/>
        <v>2.746588208113018E+101</v>
      </c>
      <c r="KFV53" s="760">
        <f t="shared" si="154"/>
        <v>2.8289858543564083E+101</v>
      </c>
      <c r="KFW53" s="760">
        <f t="shared" si="154"/>
        <v>2.9138554299871006E+101</v>
      </c>
      <c r="KFX53" s="760">
        <f t="shared" si="154"/>
        <v>3.0012710928867139E+101</v>
      </c>
      <c r="KFY53" s="760">
        <f t="shared" si="154"/>
        <v>3.0913092256733152E+101</v>
      </c>
      <c r="KFZ53" s="760">
        <f t="shared" si="154"/>
        <v>3.1840485024435149E+101</v>
      </c>
      <c r="KGA53" s="760">
        <f t="shared" si="154"/>
        <v>3.2795699575168203E+101</v>
      </c>
      <c r="KGB53" s="760">
        <f t="shared" si="154"/>
        <v>3.3779570562423249E+101</v>
      </c>
      <c r="KGC53" s="760">
        <f t="shared" si="154"/>
        <v>3.4792957679295944E+101</v>
      </c>
      <c r="KGD53" s="760">
        <f t="shared" si="154"/>
        <v>3.5836746409674825E+101</v>
      </c>
      <c r="KGE53" s="760">
        <f t="shared" ref="KGE53:KIP53" si="155">+KGD53*$C$53</f>
        <v>3.6911848801965073E+101</v>
      </c>
      <c r="KGF53" s="760">
        <f t="shared" si="155"/>
        <v>3.8019204266024025E+101</v>
      </c>
      <c r="KGG53" s="760">
        <f t="shared" si="155"/>
        <v>3.9159780394004746E+101</v>
      </c>
      <c r="KGH53" s="760">
        <f t="shared" si="155"/>
        <v>4.0334573805824887E+101</v>
      </c>
      <c r="KGI53" s="760">
        <f t="shared" si="155"/>
        <v>4.1544611019999634E+101</v>
      </c>
      <c r="KGJ53" s="760">
        <f t="shared" si="155"/>
        <v>4.2790949350599624E+101</v>
      </c>
      <c r="KGK53" s="760">
        <f t="shared" si="155"/>
        <v>4.4074677831117611E+101</v>
      </c>
      <c r="KGL53" s="760">
        <f t="shared" si="155"/>
        <v>4.5396918166051141E+101</v>
      </c>
      <c r="KGM53" s="760">
        <f t="shared" si="155"/>
        <v>4.6758825711032679E+101</v>
      </c>
      <c r="KGN53" s="760">
        <f t="shared" si="155"/>
        <v>4.8161590482363659E+101</v>
      </c>
      <c r="KGO53" s="760">
        <f t="shared" si="155"/>
        <v>4.960643819683457E+101</v>
      </c>
      <c r="KGP53" s="760">
        <f t="shared" si="155"/>
        <v>5.109463134273961E+101</v>
      </c>
      <c r="KGQ53" s="760">
        <f t="shared" si="155"/>
        <v>5.2627470283021802E+101</v>
      </c>
      <c r="KGR53" s="760">
        <f t="shared" si="155"/>
        <v>5.4206294391512456E+101</v>
      </c>
      <c r="KGS53" s="760">
        <f t="shared" si="155"/>
        <v>5.5832483223257828E+101</v>
      </c>
      <c r="KGT53" s="760">
        <f t="shared" si="155"/>
        <v>5.7507457719955571E+101</v>
      </c>
      <c r="KGU53" s="760">
        <f t="shared" si="155"/>
        <v>5.9232681451554241E+101</v>
      </c>
      <c r="KGV53" s="760">
        <f t="shared" si="155"/>
        <v>6.1009661895100865E+101</v>
      </c>
      <c r="KGW53" s="760">
        <f t="shared" si="155"/>
        <v>6.2839951751953896E+101</v>
      </c>
      <c r="KGX53" s="760">
        <f t="shared" si="155"/>
        <v>6.4725150304512513E+101</v>
      </c>
      <c r="KGY53" s="760">
        <f t="shared" si="155"/>
        <v>6.6666904813647885E+101</v>
      </c>
      <c r="KGZ53" s="760">
        <f t="shared" si="155"/>
        <v>6.8666911958057321E+101</v>
      </c>
      <c r="KHA53" s="760">
        <f t="shared" si="155"/>
        <v>7.0726919316799044E+101</v>
      </c>
      <c r="KHB53" s="760">
        <f t="shared" si="155"/>
        <v>7.2848726896303023E+101</v>
      </c>
      <c r="KHC53" s="760">
        <f t="shared" si="155"/>
        <v>7.5034188703192113E+101</v>
      </c>
      <c r="KHD53" s="760">
        <f t="shared" si="155"/>
        <v>7.728521436428788E+101</v>
      </c>
      <c r="KHE53" s="760">
        <f t="shared" si="155"/>
        <v>7.9603770795216516E+101</v>
      </c>
      <c r="KHF53" s="760">
        <f t="shared" si="155"/>
        <v>8.1991883919073019E+101</v>
      </c>
      <c r="KHG53" s="760">
        <f t="shared" si="155"/>
        <v>8.4451640436645212E+101</v>
      </c>
      <c r="KHH53" s="760">
        <f t="shared" si="155"/>
        <v>8.698518964974457E+101</v>
      </c>
      <c r="KHI53" s="760">
        <f t="shared" si="155"/>
        <v>8.9594745339236914E+101</v>
      </c>
      <c r="KHJ53" s="760">
        <f t="shared" si="155"/>
        <v>9.2282587699414028E+101</v>
      </c>
      <c r="KHK53" s="760">
        <f t="shared" si="155"/>
        <v>9.5051065330396449E+101</v>
      </c>
      <c r="KHL53" s="760">
        <f t="shared" si="155"/>
        <v>9.7902597290308341E+101</v>
      </c>
      <c r="KHM53" s="760">
        <f t="shared" si="155"/>
        <v>1.008396752090176E+102</v>
      </c>
      <c r="KHN53" s="760">
        <f t="shared" si="155"/>
        <v>1.0386486546528813E+102</v>
      </c>
      <c r="KHO53" s="760">
        <f t="shared" si="155"/>
        <v>1.0698081142924677E+102</v>
      </c>
      <c r="KHP53" s="760">
        <f t="shared" si="155"/>
        <v>1.1019023577212418E+102</v>
      </c>
      <c r="KHQ53" s="760">
        <f t="shared" si="155"/>
        <v>1.1349594284528792E+102</v>
      </c>
      <c r="KHR53" s="760">
        <f t="shared" si="155"/>
        <v>1.1690082113064655E+102</v>
      </c>
      <c r="KHS53" s="760">
        <f t="shared" si="155"/>
        <v>1.2040784576456595E+102</v>
      </c>
      <c r="KHT53" s="760">
        <f t="shared" si="155"/>
        <v>1.2402008113750293E+102</v>
      </c>
      <c r="KHU53" s="760">
        <f t="shared" si="155"/>
        <v>1.2774068357162803E+102</v>
      </c>
      <c r="KHV53" s="760">
        <f t="shared" si="155"/>
        <v>1.3157290407877688E+102</v>
      </c>
      <c r="KHW53" s="760">
        <f t="shared" si="155"/>
        <v>1.3552009120114019E+102</v>
      </c>
      <c r="KHX53" s="760">
        <f t="shared" si="155"/>
        <v>1.3958569393717438E+102</v>
      </c>
      <c r="KHY53" s="760">
        <f t="shared" si="155"/>
        <v>1.4377326475528961E+102</v>
      </c>
      <c r="KHZ53" s="760">
        <f t="shared" si="155"/>
        <v>1.4808646269794831E+102</v>
      </c>
      <c r="KIA53" s="760">
        <f t="shared" si="155"/>
        <v>1.5252905657888676E+102</v>
      </c>
      <c r="KIB53" s="760">
        <f t="shared" si="155"/>
        <v>1.5710492827625337E+102</v>
      </c>
      <c r="KIC53" s="760">
        <f t="shared" si="155"/>
        <v>1.6181807612454098E+102</v>
      </c>
      <c r="KID53" s="760">
        <f t="shared" si="155"/>
        <v>1.6667261840827722E+102</v>
      </c>
      <c r="KIE53" s="760">
        <f t="shared" si="155"/>
        <v>1.7167279696052553E+102</v>
      </c>
      <c r="KIF53" s="760">
        <f t="shared" si="155"/>
        <v>1.768229808693413E+102</v>
      </c>
      <c r="KIG53" s="760">
        <f t="shared" si="155"/>
        <v>1.8212767029542156E+102</v>
      </c>
      <c r="KIH53" s="760">
        <f t="shared" si="155"/>
        <v>1.875915004042842E+102</v>
      </c>
      <c r="KII53" s="760">
        <f t="shared" si="155"/>
        <v>1.9321924541641274E+102</v>
      </c>
      <c r="KIJ53" s="760">
        <f t="shared" si="155"/>
        <v>1.9901582277890512E+102</v>
      </c>
      <c r="KIK53" s="760">
        <f t="shared" si="155"/>
        <v>2.0498629746227228E+102</v>
      </c>
      <c r="KIL53" s="760">
        <f t="shared" si="155"/>
        <v>2.1113588638614047E+102</v>
      </c>
      <c r="KIM53" s="760">
        <f t="shared" si="155"/>
        <v>2.1746996297772469E+102</v>
      </c>
      <c r="KIN53" s="760">
        <f t="shared" si="155"/>
        <v>2.2399406186705646E+102</v>
      </c>
      <c r="KIO53" s="760">
        <f t="shared" si="155"/>
        <v>2.3071388372306813E+102</v>
      </c>
      <c r="KIP53" s="760">
        <f t="shared" si="155"/>
        <v>2.3763530023476016E+102</v>
      </c>
      <c r="KIQ53" s="760">
        <f t="shared" ref="KIQ53:KLB53" si="156">+KIP53*$C$53</f>
        <v>2.4476435924180298E+102</v>
      </c>
      <c r="KIR53" s="760">
        <f t="shared" si="156"/>
        <v>2.5210729001905709E+102</v>
      </c>
      <c r="KIS53" s="760">
        <f t="shared" si="156"/>
        <v>2.5967050871962882E+102</v>
      </c>
      <c r="KIT53" s="760">
        <f t="shared" si="156"/>
        <v>2.6746062398121769E+102</v>
      </c>
      <c r="KIU53" s="760">
        <f t="shared" si="156"/>
        <v>2.7548444270065425E+102</v>
      </c>
      <c r="KIV53" s="760">
        <f t="shared" si="156"/>
        <v>2.837489759816739E+102</v>
      </c>
      <c r="KIW53" s="760">
        <f t="shared" si="156"/>
        <v>2.922614452611241E+102</v>
      </c>
      <c r="KIX53" s="760">
        <f t="shared" si="156"/>
        <v>3.0102928861895781E+102</v>
      </c>
      <c r="KIY53" s="760">
        <f t="shared" si="156"/>
        <v>3.1006016727752655E+102</v>
      </c>
      <c r="KIZ53" s="760">
        <f t="shared" si="156"/>
        <v>3.1936197229585235E+102</v>
      </c>
      <c r="KJA53" s="760">
        <f t="shared" si="156"/>
        <v>3.2894283146472794E+102</v>
      </c>
      <c r="KJB53" s="760">
        <f t="shared" si="156"/>
        <v>3.3881111640866981E+102</v>
      </c>
      <c r="KJC53" s="760">
        <f t="shared" si="156"/>
        <v>3.4897544990092993E+102</v>
      </c>
      <c r="KJD53" s="760">
        <f t="shared" si="156"/>
        <v>3.5944471339795784E+102</v>
      </c>
      <c r="KJE53" s="760">
        <f t="shared" si="156"/>
        <v>3.7022805479989661E+102</v>
      </c>
      <c r="KJF53" s="760">
        <f t="shared" si="156"/>
        <v>3.8133489644389351E+102</v>
      </c>
      <c r="KJG53" s="760">
        <f t="shared" si="156"/>
        <v>3.9277494333721033E+102</v>
      </c>
      <c r="KJH53" s="760">
        <f t="shared" si="156"/>
        <v>4.0455819163732664E+102</v>
      </c>
      <c r="KJI53" s="760">
        <f t="shared" si="156"/>
        <v>4.1669493738644647E+102</v>
      </c>
      <c r="KJJ53" s="760">
        <f t="shared" si="156"/>
        <v>4.2919578550803988E+102</v>
      </c>
      <c r="KJK53" s="760">
        <f t="shared" si="156"/>
        <v>4.4207165907328107E+102</v>
      </c>
      <c r="KJL53" s="760">
        <f t="shared" si="156"/>
        <v>4.5533380884547954E+102</v>
      </c>
      <c r="KJM53" s="760">
        <f t="shared" si="156"/>
        <v>4.6899382311084394E+102</v>
      </c>
      <c r="KJN53" s="760">
        <f t="shared" si="156"/>
        <v>4.8306363780416924E+102</v>
      </c>
      <c r="KJO53" s="760">
        <f t="shared" si="156"/>
        <v>4.9755554693829434E+102</v>
      </c>
      <c r="KJP53" s="760">
        <f t="shared" si="156"/>
        <v>5.1248221334644314E+102</v>
      </c>
      <c r="KJQ53" s="760">
        <f t="shared" si="156"/>
        <v>5.2785667974683647E+102</v>
      </c>
      <c r="KJR53" s="760">
        <f t="shared" si="156"/>
        <v>5.4369238013924157E+102</v>
      </c>
      <c r="KJS53" s="760">
        <f t="shared" si="156"/>
        <v>5.600031515434188E+102</v>
      </c>
      <c r="KJT53" s="760">
        <f t="shared" si="156"/>
        <v>5.7680324608972142E+102</v>
      </c>
      <c r="KJU53" s="760">
        <f t="shared" si="156"/>
        <v>5.9410734347241307E+102</v>
      </c>
      <c r="KJV53" s="760">
        <f t="shared" si="156"/>
        <v>6.1193056377658546E+102</v>
      </c>
      <c r="KJW53" s="760">
        <f t="shared" si="156"/>
        <v>6.3028848068988305E+102</v>
      </c>
      <c r="KJX53" s="760">
        <f t="shared" si="156"/>
        <v>6.4919713511057959E+102</v>
      </c>
      <c r="KJY53" s="760">
        <f t="shared" si="156"/>
        <v>6.6867304916389704E+102</v>
      </c>
      <c r="KJZ53" s="760">
        <f t="shared" si="156"/>
        <v>6.8873324063881394E+102</v>
      </c>
      <c r="KKA53" s="760">
        <f t="shared" si="156"/>
        <v>7.0939523785797841E+102</v>
      </c>
      <c r="KKB53" s="760">
        <f t="shared" si="156"/>
        <v>7.306770949937178E+102</v>
      </c>
      <c r="KKC53" s="760">
        <f t="shared" si="156"/>
        <v>7.5259740784352931E+102</v>
      </c>
      <c r="KKD53" s="760">
        <f t="shared" si="156"/>
        <v>7.7517533007883519E+102</v>
      </c>
      <c r="KKE53" s="760">
        <f t="shared" si="156"/>
        <v>7.9843058998120024E+102</v>
      </c>
      <c r="KKF53" s="760">
        <f t="shared" si="156"/>
        <v>8.2238350768063628E+102</v>
      </c>
      <c r="KKG53" s="760">
        <f t="shared" si="156"/>
        <v>8.4705501291105536E+102</v>
      </c>
      <c r="KKH53" s="760">
        <f t="shared" si="156"/>
        <v>8.7246666329838704E+102</v>
      </c>
      <c r="KKI53" s="760">
        <f t="shared" si="156"/>
        <v>8.986406631973386E+102</v>
      </c>
      <c r="KKJ53" s="760">
        <f t="shared" si="156"/>
        <v>9.2559988309325872E+102</v>
      </c>
      <c r="KKK53" s="760">
        <f t="shared" si="156"/>
        <v>9.5336787958605657E+102</v>
      </c>
      <c r="KKL53" s="760">
        <f t="shared" si="156"/>
        <v>9.8196891597363821E+102</v>
      </c>
      <c r="KKM53" s="760">
        <f t="shared" si="156"/>
        <v>1.0114279834528473E+103</v>
      </c>
      <c r="KKN53" s="760">
        <f t="shared" si="156"/>
        <v>1.0417708229564327E+103</v>
      </c>
      <c r="KKO53" s="760">
        <f t="shared" si="156"/>
        <v>1.0730239476451257E+103</v>
      </c>
      <c r="KKP53" s="760">
        <f t="shared" si="156"/>
        <v>1.1052146660744796E+103</v>
      </c>
      <c r="KKQ53" s="760">
        <f t="shared" si="156"/>
        <v>1.138371106056714E+103</v>
      </c>
      <c r="KKR53" s="760">
        <f t="shared" si="156"/>
        <v>1.1725222392384154E+103</v>
      </c>
      <c r="KKS53" s="760">
        <f t="shared" si="156"/>
        <v>1.2076979064155678E+103</v>
      </c>
      <c r="KKT53" s="760">
        <f t="shared" si="156"/>
        <v>1.2439288436080348E+103</v>
      </c>
      <c r="KKU53" s="760">
        <f t="shared" si="156"/>
        <v>1.2812467089162759E+103</v>
      </c>
      <c r="KKV53" s="760">
        <f t="shared" si="156"/>
        <v>1.3196841101837643E+103</v>
      </c>
      <c r="KKW53" s="760">
        <f t="shared" si="156"/>
        <v>1.3592746334892774E+103</v>
      </c>
      <c r="KKX53" s="760">
        <f t="shared" si="156"/>
        <v>1.4000528724939558E+103</v>
      </c>
      <c r="KKY53" s="760">
        <f t="shared" si="156"/>
        <v>1.4420544586687744E+103</v>
      </c>
      <c r="KKZ53" s="760">
        <f t="shared" si="156"/>
        <v>1.4853160924288377E+103</v>
      </c>
      <c r="KLA53" s="760">
        <f t="shared" si="156"/>
        <v>1.5298755752017029E+103</v>
      </c>
      <c r="KLB53" s="760">
        <f t="shared" si="156"/>
        <v>1.5757718424577539E+103</v>
      </c>
      <c r="KLC53" s="760">
        <f t="shared" ref="KLC53:KNN53" si="157">+KLB53*$C$53</f>
        <v>1.6230449977314867E+103</v>
      </c>
      <c r="KLD53" s="760">
        <f t="shared" si="157"/>
        <v>1.6717363476634314E+103</v>
      </c>
      <c r="KLE53" s="760">
        <f t="shared" si="157"/>
        <v>1.7218884380933343E+103</v>
      </c>
      <c r="KLF53" s="760">
        <f t="shared" si="157"/>
        <v>1.7735450912361343E+103</v>
      </c>
      <c r="KLG53" s="760">
        <f t="shared" si="157"/>
        <v>1.8267514439732182E+103</v>
      </c>
      <c r="KLH53" s="760">
        <f t="shared" si="157"/>
        <v>1.8815539872924146E+103</v>
      </c>
      <c r="KLI53" s="760">
        <f t="shared" si="157"/>
        <v>1.938000606911187E+103</v>
      </c>
      <c r="KLJ53" s="760">
        <f t="shared" si="157"/>
        <v>1.9961406251185226E+103</v>
      </c>
      <c r="KLK53" s="760">
        <f t="shared" si="157"/>
        <v>2.0560248438720781E+103</v>
      </c>
      <c r="KLL53" s="760">
        <f t="shared" si="157"/>
        <v>2.1177055891882404E+103</v>
      </c>
      <c r="KLM53" s="760">
        <f t="shared" si="157"/>
        <v>2.1812367568638876E+103</v>
      </c>
      <c r="KLN53" s="760">
        <f t="shared" si="157"/>
        <v>2.2466738595698041E+103</v>
      </c>
      <c r="KLO53" s="760">
        <f t="shared" si="157"/>
        <v>2.3140740753568982E+103</v>
      </c>
      <c r="KLP53" s="760">
        <f t="shared" si="157"/>
        <v>2.383496297617605E+103</v>
      </c>
      <c r="KLQ53" s="760">
        <f t="shared" si="157"/>
        <v>2.4550011865461331E+103</v>
      </c>
      <c r="KLR53" s="760">
        <f t="shared" si="157"/>
        <v>2.5286512221425173E+103</v>
      </c>
      <c r="KLS53" s="760">
        <f t="shared" si="157"/>
        <v>2.604510758806793E+103</v>
      </c>
      <c r="KLT53" s="760">
        <f t="shared" si="157"/>
        <v>2.6826460815709968E+103</v>
      </c>
      <c r="KLU53" s="760">
        <f t="shared" si="157"/>
        <v>2.7631254640181268E+103</v>
      </c>
      <c r="KLV53" s="760">
        <f t="shared" si="157"/>
        <v>2.8460192279386705E+103</v>
      </c>
      <c r="KLW53" s="760">
        <f t="shared" si="157"/>
        <v>2.9313998047768307E+103</v>
      </c>
      <c r="KLX53" s="760">
        <f t="shared" si="157"/>
        <v>3.0193417989201358E+103</v>
      </c>
      <c r="KLY53" s="760">
        <f t="shared" si="157"/>
        <v>3.1099220528877402E+103</v>
      </c>
      <c r="KLZ53" s="760">
        <f t="shared" si="157"/>
        <v>3.2032197144743726E+103</v>
      </c>
      <c r="KMA53" s="760">
        <f t="shared" si="157"/>
        <v>3.2993163059086038E+103</v>
      </c>
      <c r="KMB53" s="760">
        <f t="shared" si="157"/>
        <v>3.3982957950858622E+103</v>
      </c>
      <c r="KMC53" s="760">
        <f t="shared" si="157"/>
        <v>3.5002446689384381E+103</v>
      </c>
      <c r="KMD53" s="760">
        <f t="shared" si="157"/>
        <v>3.6052520090065913E+103</v>
      </c>
      <c r="KME53" s="760">
        <f t="shared" si="157"/>
        <v>3.713409569276789E+103</v>
      </c>
      <c r="KMF53" s="760">
        <f t="shared" si="157"/>
        <v>3.8248118563550932E+103</v>
      </c>
      <c r="KMG53" s="760">
        <f t="shared" si="157"/>
        <v>3.9395562120457459E+103</v>
      </c>
      <c r="KMH53" s="760">
        <f t="shared" si="157"/>
        <v>4.0577428984071182E+103</v>
      </c>
      <c r="KMI53" s="760">
        <f t="shared" si="157"/>
        <v>4.1794751853593318E+103</v>
      </c>
      <c r="KMJ53" s="760">
        <f t="shared" si="157"/>
        <v>4.3048594409201116E+103</v>
      </c>
      <c r="KMK53" s="760">
        <f t="shared" si="157"/>
        <v>4.4340052241477155E+103</v>
      </c>
      <c r="KML53" s="760">
        <f t="shared" si="157"/>
        <v>4.5670253808721468E+103</v>
      </c>
      <c r="KMM53" s="760">
        <f t="shared" si="157"/>
        <v>4.704036142298311E+103</v>
      </c>
      <c r="KMN53" s="760">
        <f t="shared" si="157"/>
        <v>4.8451572265672604E+103</v>
      </c>
      <c r="KMO53" s="760">
        <f t="shared" si="157"/>
        <v>4.9905119433642782E+103</v>
      </c>
      <c r="KMP53" s="760">
        <f t="shared" si="157"/>
        <v>5.1402273016652069E+103</v>
      </c>
      <c r="KMQ53" s="760">
        <f t="shared" si="157"/>
        <v>5.2944341207151629E+103</v>
      </c>
      <c r="KMR53" s="760">
        <f t="shared" si="157"/>
        <v>5.4532671443366176E+103</v>
      </c>
      <c r="KMS53" s="760">
        <f t="shared" si="157"/>
        <v>5.6168651586667161E+103</v>
      </c>
      <c r="KMT53" s="760">
        <f t="shared" si="157"/>
        <v>5.7853711134267177E+103</v>
      </c>
      <c r="KMU53" s="760">
        <f t="shared" si="157"/>
        <v>5.9589322468295191E+103</v>
      </c>
      <c r="KMV53" s="760">
        <f t="shared" si="157"/>
        <v>6.1377002142344051E+103</v>
      </c>
      <c r="KMW53" s="760">
        <f t="shared" si="157"/>
        <v>6.3218312206614371E+103</v>
      </c>
      <c r="KMX53" s="760">
        <f t="shared" si="157"/>
        <v>6.5114861572812801E+103</v>
      </c>
      <c r="KMY53" s="760">
        <f t="shared" si="157"/>
        <v>6.7068307419997189E+103</v>
      </c>
      <c r="KMZ53" s="760">
        <f t="shared" si="157"/>
        <v>6.9080356642597105E+103</v>
      </c>
      <c r="KNA53" s="760">
        <f t="shared" si="157"/>
        <v>7.1152767341875023E+103</v>
      </c>
      <c r="KNB53" s="760">
        <f t="shared" si="157"/>
        <v>7.3287350362131271E+103</v>
      </c>
      <c r="KNC53" s="760">
        <f t="shared" si="157"/>
        <v>7.5485970872995211E+103</v>
      </c>
      <c r="KND53" s="760">
        <f t="shared" si="157"/>
        <v>7.7750549999185072E+103</v>
      </c>
      <c r="KNE53" s="760">
        <f t="shared" si="157"/>
        <v>8.008306649916063E+103</v>
      </c>
      <c r="KNF53" s="760">
        <f t="shared" si="157"/>
        <v>8.2485558494135456E+103</v>
      </c>
      <c r="KNG53" s="760">
        <f t="shared" si="157"/>
        <v>8.4960125248959526E+103</v>
      </c>
      <c r="KNH53" s="760">
        <f t="shared" si="157"/>
        <v>8.7508929006428316E+103</v>
      </c>
      <c r="KNI53" s="760">
        <f t="shared" si="157"/>
        <v>9.0134196876621175E+103</v>
      </c>
      <c r="KNJ53" s="760">
        <f t="shared" si="157"/>
        <v>9.2838222782919813E+103</v>
      </c>
      <c r="KNK53" s="760">
        <f t="shared" si="157"/>
        <v>9.5623369466407412E+103</v>
      </c>
      <c r="KNL53" s="760">
        <f t="shared" si="157"/>
        <v>9.849207055039964E+103</v>
      </c>
      <c r="KNM53" s="760">
        <f t="shared" si="157"/>
        <v>1.0144683266691163E+104</v>
      </c>
      <c r="KNN53" s="760">
        <f t="shared" si="157"/>
        <v>1.0449023764691898E+104</v>
      </c>
      <c r="KNO53" s="760">
        <f t="shared" ref="KNO53:KPZ53" si="158">+KNN53*$C$53</f>
        <v>1.0762494477632655E+104</v>
      </c>
      <c r="KNP53" s="760">
        <f t="shared" si="158"/>
        <v>1.1085369311961636E+104</v>
      </c>
      <c r="KNQ53" s="760">
        <f t="shared" si="158"/>
        <v>1.1417930391320484E+104</v>
      </c>
      <c r="KNR53" s="760">
        <f t="shared" si="158"/>
        <v>1.1760468303060099E+104</v>
      </c>
      <c r="KNS53" s="760">
        <f t="shared" si="158"/>
        <v>1.2113282352151903E+104</v>
      </c>
      <c r="KNT53" s="760">
        <f t="shared" si="158"/>
        <v>1.247668082271646E+104</v>
      </c>
      <c r="KNU53" s="760">
        <f t="shared" si="158"/>
        <v>1.2850981247397954E+104</v>
      </c>
      <c r="KNV53" s="760">
        <f t="shared" si="158"/>
        <v>1.3236510684819894E+104</v>
      </c>
      <c r="KNW53" s="760">
        <f t="shared" si="158"/>
        <v>1.3633606005364491E+104</v>
      </c>
      <c r="KNX53" s="760">
        <f t="shared" si="158"/>
        <v>1.4042614185525426E+104</v>
      </c>
      <c r="KNY53" s="760">
        <f t="shared" si="158"/>
        <v>1.4463892611091189E+104</v>
      </c>
      <c r="KNZ53" s="760">
        <f t="shared" si="158"/>
        <v>1.4897809389423926E+104</v>
      </c>
      <c r="KOA53" s="760">
        <f t="shared" si="158"/>
        <v>1.5344743671106646E+104</v>
      </c>
      <c r="KOB53" s="760">
        <f t="shared" si="158"/>
        <v>1.5805085981239846E+104</v>
      </c>
      <c r="KOC53" s="760">
        <f t="shared" si="158"/>
        <v>1.6279238560677043E+104</v>
      </c>
      <c r="KOD53" s="760">
        <f t="shared" si="158"/>
        <v>1.6767615717497356E+104</v>
      </c>
      <c r="KOE53" s="760">
        <f t="shared" si="158"/>
        <v>1.7270644189022275E+104</v>
      </c>
      <c r="KOF53" s="760">
        <f t="shared" si="158"/>
        <v>1.7788763514692944E+104</v>
      </c>
      <c r="KOG53" s="760">
        <f t="shared" si="158"/>
        <v>1.8322426420133732E+104</v>
      </c>
      <c r="KOH53" s="760">
        <f t="shared" si="158"/>
        <v>1.8872099212737745E+104</v>
      </c>
      <c r="KOI53" s="760">
        <f t="shared" si="158"/>
        <v>1.9438262189119879E+104</v>
      </c>
      <c r="KOJ53" s="760">
        <f t="shared" si="158"/>
        <v>2.0021410054793478E+104</v>
      </c>
      <c r="KOK53" s="760">
        <f t="shared" si="158"/>
        <v>2.0622052356437282E+104</v>
      </c>
      <c r="KOL53" s="760">
        <f t="shared" si="158"/>
        <v>2.1240713927130402E+104</v>
      </c>
      <c r="KOM53" s="760">
        <f t="shared" si="158"/>
        <v>2.1877935344944314E+104</v>
      </c>
      <c r="KON53" s="760">
        <f t="shared" si="158"/>
        <v>2.2534273405292644E+104</v>
      </c>
      <c r="KOO53" s="760">
        <f t="shared" si="158"/>
        <v>2.3210301607451425E+104</v>
      </c>
      <c r="KOP53" s="760">
        <f t="shared" si="158"/>
        <v>2.3906610655674968E+104</v>
      </c>
      <c r="KOQ53" s="760">
        <f t="shared" si="158"/>
        <v>2.4623808975345218E+104</v>
      </c>
      <c r="KOR53" s="760">
        <f t="shared" si="158"/>
        <v>2.5362523244605575E+104</v>
      </c>
      <c r="KOS53" s="760">
        <f t="shared" si="158"/>
        <v>2.6123398941943744E+104</v>
      </c>
      <c r="KOT53" s="760">
        <f t="shared" si="158"/>
        <v>2.6907100910202056E+104</v>
      </c>
      <c r="KOU53" s="760">
        <f t="shared" si="158"/>
        <v>2.7714313937508119E+104</v>
      </c>
      <c r="KOV53" s="760">
        <f t="shared" si="158"/>
        <v>2.8545743355633362E+104</v>
      </c>
      <c r="KOW53" s="760">
        <f t="shared" si="158"/>
        <v>2.9402115656302363E+104</v>
      </c>
      <c r="KOX53" s="760">
        <f t="shared" si="158"/>
        <v>3.0284179125991436E+104</v>
      </c>
      <c r="KOY53" s="760">
        <f t="shared" si="158"/>
        <v>3.1192704499771179E+104</v>
      </c>
      <c r="KOZ53" s="760">
        <f t="shared" si="158"/>
        <v>3.2128485634764314E+104</v>
      </c>
      <c r="KPA53" s="760">
        <f t="shared" si="158"/>
        <v>3.3092340203807243E+104</v>
      </c>
      <c r="KPB53" s="760">
        <f t="shared" si="158"/>
        <v>3.4085110409921463E+104</v>
      </c>
      <c r="KPC53" s="760">
        <f t="shared" si="158"/>
        <v>3.5107663722219107E+104</v>
      </c>
      <c r="KPD53" s="760">
        <f t="shared" si="158"/>
        <v>3.6160893633885678E+104</v>
      </c>
      <c r="KPE53" s="760">
        <f t="shared" si="158"/>
        <v>3.7245720442902249E+104</v>
      </c>
      <c r="KPF53" s="760">
        <f t="shared" si="158"/>
        <v>3.8363092056189316E+104</v>
      </c>
      <c r="KPG53" s="760">
        <f t="shared" si="158"/>
        <v>3.9513984817874996E+104</v>
      </c>
      <c r="KPH53" s="760">
        <f t="shared" si="158"/>
        <v>4.0699404362411248E+104</v>
      </c>
      <c r="KPI53" s="760">
        <f t="shared" si="158"/>
        <v>4.1920386493283586E+104</v>
      </c>
      <c r="KPJ53" s="760">
        <f t="shared" si="158"/>
        <v>4.3177998088082093E+104</v>
      </c>
      <c r="KPK53" s="760">
        <f t="shared" si="158"/>
        <v>4.4473338030724556E+104</v>
      </c>
      <c r="KPL53" s="760">
        <f t="shared" si="158"/>
        <v>4.5807538171646296E+104</v>
      </c>
      <c r="KPM53" s="760">
        <f t="shared" si="158"/>
        <v>4.7181764316795686E+104</v>
      </c>
      <c r="KPN53" s="760">
        <f t="shared" si="158"/>
        <v>4.8597217246299555E+104</v>
      </c>
      <c r="KPO53" s="760">
        <f t="shared" si="158"/>
        <v>5.0055133763688545E+104</v>
      </c>
      <c r="KPP53" s="760">
        <f t="shared" si="158"/>
        <v>5.1556787776599201E+104</v>
      </c>
      <c r="KPQ53" s="760">
        <f t="shared" si="158"/>
        <v>5.3103491409897177E+104</v>
      </c>
      <c r="KPR53" s="760">
        <f t="shared" si="158"/>
        <v>5.4696596152194096E+104</v>
      </c>
      <c r="KPS53" s="760">
        <f t="shared" si="158"/>
        <v>5.6337494036759918E+104</v>
      </c>
      <c r="KPT53" s="760">
        <f t="shared" si="158"/>
        <v>5.8027618857862719E+104</v>
      </c>
      <c r="KPU53" s="760">
        <f t="shared" si="158"/>
        <v>5.9768447423598599E+104</v>
      </c>
      <c r="KPV53" s="760">
        <f t="shared" si="158"/>
        <v>6.1561500846306561E+104</v>
      </c>
      <c r="KPW53" s="760">
        <f t="shared" si="158"/>
        <v>6.3408345871695764E+104</v>
      </c>
      <c r="KPX53" s="760">
        <f t="shared" si="158"/>
        <v>6.5310596247846633E+104</v>
      </c>
      <c r="KPY53" s="760">
        <f t="shared" si="158"/>
        <v>6.7269914135282032E+104</v>
      </c>
      <c r="KPZ53" s="760">
        <f t="shared" si="158"/>
        <v>6.9288011559340492E+104</v>
      </c>
      <c r="KQA53" s="760">
        <f t="shared" ref="KQA53:KSL53" si="159">+KPZ53*$C$53</f>
        <v>7.1366651906120704E+104</v>
      </c>
      <c r="KQB53" s="760">
        <f t="shared" si="159"/>
        <v>7.3507651463304324E+104</v>
      </c>
      <c r="KQC53" s="760">
        <f t="shared" si="159"/>
        <v>7.5712881007203451E+104</v>
      </c>
      <c r="KQD53" s="760">
        <f t="shared" si="159"/>
        <v>7.7984267437419556E+104</v>
      </c>
      <c r="KQE53" s="760">
        <f t="shared" si="159"/>
        <v>8.0323795460542143E+104</v>
      </c>
      <c r="KQF53" s="760">
        <f t="shared" si="159"/>
        <v>8.2733509324358405E+104</v>
      </c>
      <c r="KQG53" s="760">
        <f t="shared" si="159"/>
        <v>8.5215514604089157E+104</v>
      </c>
      <c r="KQH53" s="760">
        <f t="shared" si="159"/>
        <v>8.7771980042211829E+104</v>
      </c>
      <c r="KQI53" s="760">
        <f t="shared" si="159"/>
        <v>9.0405139443478184E+104</v>
      </c>
      <c r="KQJ53" s="760">
        <f t="shared" si="159"/>
        <v>9.3117293626782528E+104</v>
      </c>
      <c r="KQK53" s="760">
        <f t="shared" si="159"/>
        <v>9.5910812435586005E+104</v>
      </c>
      <c r="KQL53" s="760">
        <f t="shared" si="159"/>
        <v>9.8788136808653586E+104</v>
      </c>
      <c r="KQM53" s="760">
        <f t="shared" si="159"/>
        <v>1.017517809129132E+105</v>
      </c>
      <c r="KQN53" s="760">
        <f t="shared" si="159"/>
        <v>1.048043343403006E+105</v>
      </c>
      <c r="KQO53" s="760">
        <f t="shared" si="159"/>
        <v>1.0794846437050962E+105</v>
      </c>
      <c r="KQP53" s="760">
        <f t="shared" si="159"/>
        <v>1.1118691830162491E+105</v>
      </c>
      <c r="KQQ53" s="760">
        <f t="shared" si="159"/>
        <v>1.1452252585067367E+105</v>
      </c>
      <c r="KQR53" s="760">
        <f t="shared" si="159"/>
        <v>1.1795820162619387E+105</v>
      </c>
      <c r="KQS53" s="760">
        <f t="shared" si="159"/>
        <v>1.2149694767497969E+105</v>
      </c>
      <c r="KQT53" s="760">
        <f t="shared" si="159"/>
        <v>1.2514185610522908E+105</v>
      </c>
      <c r="KQU53" s="760">
        <f t="shared" si="159"/>
        <v>1.2889611178838596E+105</v>
      </c>
      <c r="KQV53" s="760">
        <f t="shared" si="159"/>
        <v>1.3276299514203753E+105</v>
      </c>
      <c r="KQW53" s="760">
        <f t="shared" si="159"/>
        <v>1.3674588499629865E+105</v>
      </c>
      <c r="KQX53" s="760">
        <f t="shared" si="159"/>
        <v>1.408482615461876E+105</v>
      </c>
      <c r="KQY53" s="760">
        <f t="shared" si="159"/>
        <v>1.4507370939257322E+105</v>
      </c>
      <c r="KQZ53" s="760">
        <f t="shared" si="159"/>
        <v>1.4942592067435042E+105</v>
      </c>
      <c r="KRA53" s="760">
        <f t="shared" si="159"/>
        <v>1.5390869829458094E+105</v>
      </c>
      <c r="KRB53" s="760">
        <f t="shared" si="159"/>
        <v>1.5852595924341837E+105</v>
      </c>
      <c r="KRC53" s="760">
        <f t="shared" si="159"/>
        <v>1.6328173802072094E+105</v>
      </c>
      <c r="KRD53" s="760">
        <f t="shared" si="159"/>
        <v>1.6818019016134258E+105</v>
      </c>
      <c r="KRE53" s="760">
        <f t="shared" si="159"/>
        <v>1.7322559586618285E+105</v>
      </c>
      <c r="KRF53" s="760">
        <f t="shared" si="159"/>
        <v>1.7842236374216834E+105</v>
      </c>
      <c r="KRG53" s="760">
        <f t="shared" si="159"/>
        <v>1.837750346544334E+105</v>
      </c>
      <c r="KRH53" s="760">
        <f t="shared" si="159"/>
        <v>1.892882856940664E+105</v>
      </c>
      <c r="KRI53" s="760">
        <f t="shared" si="159"/>
        <v>1.9496693426488839E+105</v>
      </c>
      <c r="KRJ53" s="760">
        <f t="shared" si="159"/>
        <v>2.0081594229283505E+105</v>
      </c>
      <c r="KRK53" s="760">
        <f t="shared" si="159"/>
        <v>2.068404205616201E+105</v>
      </c>
      <c r="KRL53" s="760">
        <f t="shared" si="159"/>
        <v>2.1304563317846871E+105</v>
      </c>
      <c r="KRM53" s="760">
        <f t="shared" si="159"/>
        <v>2.1943700217382277E+105</v>
      </c>
      <c r="KRN53" s="760">
        <f t="shared" si="159"/>
        <v>2.2602011223903746E+105</v>
      </c>
      <c r="KRO53" s="760">
        <f t="shared" si="159"/>
        <v>2.3280071560620858E+105</v>
      </c>
      <c r="KRP53" s="760">
        <f t="shared" si="159"/>
        <v>2.3978473707439485E+105</v>
      </c>
      <c r="KRQ53" s="760">
        <f t="shared" si="159"/>
        <v>2.4697827918662672E+105</v>
      </c>
      <c r="KRR53" s="760">
        <f t="shared" si="159"/>
        <v>2.5438762756222554E+105</v>
      </c>
      <c r="KRS53" s="760">
        <f t="shared" si="159"/>
        <v>2.6201925638909233E+105</v>
      </c>
      <c r="KRT53" s="760">
        <f t="shared" si="159"/>
        <v>2.6987983408076512E+105</v>
      </c>
      <c r="KRU53" s="760">
        <f t="shared" si="159"/>
        <v>2.7797622910318807E+105</v>
      </c>
      <c r="KRV53" s="760">
        <f t="shared" si="159"/>
        <v>2.8631551597628372E+105</v>
      </c>
      <c r="KRW53" s="760">
        <f t="shared" si="159"/>
        <v>2.9490498145557226E+105</v>
      </c>
      <c r="KRX53" s="760">
        <f t="shared" si="159"/>
        <v>3.0375213089923944E+105</v>
      </c>
      <c r="KRY53" s="760">
        <f t="shared" si="159"/>
        <v>3.1286469482621663E+105</v>
      </c>
      <c r="KRZ53" s="760">
        <f t="shared" si="159"/>
        <v>3.2225063567100314E+105</v>
      </c>
      <c r="KSA53" s="760">
        <f t="shared" si="159"/>
        <v>3.3191815474113323E+105</v>
      </c>
      <c r="KSB53" s="760">
        <f t="shared" si="159"/>
        <v>3.4187569938336722E+105</v>
      </c>
      <c r="KSC53" s="760">
        <f t="shared" si="159"/>
        <v>3.5213197036486826E+105</v>
      </c>
      <c r="KSD53" s="760">
        <f t="shared" si="159"/>
        <v>3.6269592947581434E+105</v>
      </c>
      <c r="KSE53" s="760">
        <f t="shared" si="159"/>
        <v>3.7357680736008879E+105</v>
      </c>
      <c r="KSF53" s="760">
        <f t="shared" si="159"/>
        <v>3.8478411158089145E+105</v>
      </c>
      <c r="KSG53" s="760">
        <f t="shared" si="159"/>
        <v>3.9632763492831822E+105</v>
      </c>
      <c r="KSH53" s="760">
        <f t="shared" si="159"/>
        <v>4.0821746397616776E+105</v>
      </c>
      <c r="KSI53" s="760">
        <f t="shared" si="159"/>
        <v>4.204639878954528E+105</v>
      </c>
      <c r="KSJ53" s="760">
        <f t="shared" si="159"/>
        <v>4.330779075323164E+105</v>
      </c>
      <c r="KSK53" s="760">
        <f t="shared" si="159"/>
        <v>4.460702447582859E+105</v>
      </c>
      <c r="KSL53" s="760">
        <f t="shared" si="159"/>
        <v>4.5945235210103447E+105</v>
      </c>
      <c r="KSM53" s="760">
        <f t="shared" ref="KSM53:KUX53" si="160">+KSL53*$C$53</f>
        <v>4.7323592266406555E+105</v>
      </c>
      <c r="KSN53" s="760">
        <f t="shared" si="160"/>
        <v>4.8743300034398749E+105</v>
      </c>
      <c r="KSO53" s="760">
        <f t="shared" si="160"/>
        <v>5.0205599035430712E+105</v>
      </c>
      <c r="KSP53" s="760">
        <f t="shared" si="160"/>
        <v>5.1711767006493639E+105</v>
      </c>
      <c r="KSQ53" s="760">
        <f t="shared" si="160"/>
        <v>5.3263120016688449E+105</v>
      </c>
      <c r="KSR53" s="760">
        <f t="shared" si="160"/>
        <v>5.4861013617189099E+105</v>
      </c>
      <c r="KSS53" s="760">
        <f t="shared" si="160"/>
        <v>5.6506844025704777E+105</v>
      </c>
      <c r="KST53" s="760">
        <f t="shared" si="160"/>
        <v>5.8202049346475919E+105</v>
      </c>
      <c r="KSU53" s="760">
        <f t="shared" si="160"/>
        <v>5.9948110826870202E+105</v>
      </c>
      <c r="KSV53" s="760">
        <f t="shared" si="160"/>
        <v>6.1746554151676314E+105</v>
      </c>
      <c r="KSW53" s="760">
        <f t="shared" si="160"/>
        <v>6.3598950776226605E+105</v>
      </c>
      <c r="KSX53" s="760">
        <f t="shared" si="160"/>
        <v>6.5506919299513408E+105</v>
      </c>
      <c r="KSY53" s="760">
        <f t="shared" si="160"/>
        <v>6.747212687849881E+105</v>
      </c>
      <c r="KSZ53" s="760">
        <f t="shared" si="160"/>
        <v>6.9496290684853779E+105</v>
      </c>
      <c r="KTA53" s="760">
        <f t="shared" si="160"/>
        <v>7.158117940539939E+105</v>
      </c>
      <c r="KTB53" s="760">
        <f t="shared" si="160"/>
        <v>7.372861478756137E+105</v>
      </c>
      <c r="KTC53" s="760">
        <f t="shared" si="160"/>
        <v>7.5940473231188216E+105</v>
      </c>
      <c r="KTD53" s="760">
        <f t="shared" si="160"/>
        <v>7.8218687428123864E+105</v>
      </c>
      <c r="KTE53" s="760">
        <f t="shared" si="160"/>
        <v>8.0565248050967581E+105</v>
      </c>
      <c r="KTF53" s="760">
        <f t="shared" si="160"/>
        <v>8.2982205492496606E+105</v>
      </c>
      <c r="KTG53" s="760">
        <f t="shared" si="160"/>
        <v>8.5471671657271505E+105</v>
      </c>
      <c r="KTH53" s="760">
        <f t="shared" si="160"/>
        <v>8.8035821806989653E+105</v>
      </c>
      <c r="KTI53" s="760">
        <f t="shared" si="160"/>
        <v>9.0676896461199345E+105</v>
      </c>
      <c r="KTJ53" s="760">
        <f t="shared" si="160"/>
        <v>9.3397203355035322E+105</v>
      </c>
      <c r="KTK53" s="760">
        <f t="shared" si="160"/>
        <v>9.6199119455686381E+105</v>
      </c>
      <c r="KTL53" s="760">
        <f t="shared" si="160"/>
        <v>9.908509303935698E+105</v>
      </c>
      <c r="KTM53" s="760">
        <f t="shared" si="160"/>
        <v>1.020576458305377E+106</v>
      </c>
      <c r="KTN53" s="760">
        <f t="shared" si="160"/>
        <v>1.0511937520545384E+106</v>
      </c>
      <c r="KTO53" s="760">
        <f t="shared" si="160"/>
        <v>1.0827295646161745E+106</v>
      </c>
      <c r="KTP53" s="760">
        <f t="shared" si="160"/>
        <v>1.1152114515546599E+106</v>
      </c>
      <c r="KTQ53" s="760">
        <f t="shared" si="160"/>
        <v>1.1486677951012996E+106</v>
      </c>
      <c r="KTR53" s="760">
        <f t="shared" si="160"/>
        <v>1.1831278289543386E+106</v>
      </c>
      <c r="KTS53" s="760">
        <f t="shared" si="160"/>
        <v>1.2186216638229688E+106</v>
      </c>
      <c r="KTT53" s="760">
        <f t="shared" si="160"/>
        <v>1.255180313737658E+106</v>
      </c>
      <c r="KTU53" s="760">
        <f t="shared" si="160"/>
        <v>1.2928357231497878E+106</v>
      </c>
      <c r="KTV53" s="760">
        <f t="shared" si="160"/>
        <v>1.3316207948442815E+106</v>
      </c>
      <c r="KTW53" s="760">
        <f t="shared" si="160"/>
        <v>1.37156941868961E+106</v>
      </c>
      <c r="KTX53" s="760">
        <f t="shared" si="160"/>
        <v>1.4127165012502983E+106</v>
      </c>
      <c r="KTY53" s="760">
        <f t="shared" si="160"/>
        <v>1.4550979962878072E+106</v>
      </c>
      <c r="KTZ53" s="760">
        <f t="shared" si="160"/>
        <v>1.4987509361764415E+106</v>
      </c>
      <c r="KUA53" s="760">
        <f t="shared" si="160"/>
        <v>1.5437134642617348E+106</v>
      </c>
      <c r="KUB53" s="760">
        <f t="shared" si="160"/>
        <v>1.5900248681895869E+106</v>
      </c>
      <c r="KUC53" s="760">
        <f t="shared" si="160"/>
        <v>1.6377256142352746E+106</v>
      </c>
      <c r="KUD53" s="760">
        <f t="shared" si="160"/>
        <v>1.6868573826623329E+106</v>
      </c>
      <c r="KUE53" s="760">
        <f t="shared" si="160"/>
        <v>1.737463104142203E+106</v>
      </c>
      <c r="KUF53" s="760">
        <f t="shared" si="160"/>
        <v>1.7895869972664691E+106</v>
      </c>
      <c r="KUG53" s="760">
        <f t="shared" si="160"/>
        <v>1.8432746071844632E+106</v>
      </c>
      <c r="KUH53" s="760">
        <f t="shared" si="160"/>
        <v>1.898572845399997E+106</v>
      </c>
      <c r="KUI53" s="760">
        <f t="shared" si="160"/>
        <v>1.9555300307619971E+106</v>
      </c>
      <c r="KUJ53" s="760">
        <f t="shared" si="160"/>
        <v>2.0141959316848571E+106</v>
      </c>
      <c r="KUK53" s="760">
        <f t="shared" si="160"/>
        <v>2.0746218096354028E+106</v>
      </c>
      <c r="KUL53" s="760">
        <f t="shared" si="160"/>
        <v>2.1368604639244651E+106</v>
      </c>
      <c r="KUM53" s="760">
        <f t="shared" si="160"/>
        <v>2.2009662778421991E+106</v>
      </c>
      <c r="KUN53" s="760">
        <f t="shared" si="160"/>
        <v>2.2669952661774651E+106</v>
      </c>
      <c r="KUO53" s="760">
        <f t="shared" si="160"/>
        <v>2.335005124162789E+106</v>
      </c>
      <c r="KUP53" s="760">
        <f t="shared" si="160"/>
        <v>2.4050552778876727E+106</v>
      </c>
      <c r="KUQ53" s="760">
        <f t="shared" si="160"/>
        <v>2.477206936224303E+106</v>
      </c>
      <c r="KUR53" s="760">
        <f t="shared" si="160"/>
        <v>2.5515231443110321E+106</v>
      </c>
      <c r="KUS53" s="760">
        <f t="shared" si="160"/>
        <v>2.6280688386403631E+106</v>
      </c>
      <c r="KUT53" s="760">
        <f t="shared" si="160"/>
        <v>2.7069109037995741E+106</v>
      </c>
      <c r="KUU53" s="760">
        <f t="shared" si="160"/>
        <v>2.7881182309135614E+106</v>
      </c>
      <c r="KUV53" s="760">
        <f t="shared" si="160"/>
        <v>2.8717617778409685E+106</v>
      </c>
      <c r="KUW53" s="760">
        <f t="shared" si="160"/>
        <v>2.9579146311761975E+106</v>
      </c>
      <c r="KUX53" s="760">
        <f t="shared" si="160"/>
        <v>3.0466520701114834E+106</v>
      </c>
      <c r="KUY53" s="760">
        <f t="shared" ref="KUY53:KXJ53" si="161">+KUX53*$C$53</f>
        <v>3.1380516322148278E+106</v>
      </c>
      <c r="KUZ53" s="760">
        <f t="shared" si="161"/>
        <v>3.2321931811812726E+106</v>
      </c>
      <c r="KVA53" s="760">
        <f t="shared" si="161"/>
        <v>3.3291589766167108E+106</v>
      </c>
      <c r="KVB53" s="760">
        <f t="shared" si="161"/>
        <v>3.4290337459152124E+106</v>
      </c>
      <c r="KVC53" s="760">
        <f t="shared" si="161"/>
        <v>3.531904758292669E+106</v>
      </c>
      <c r="KVD53" s="760">
        <f t="shared" si="161"/>
        <v>3.6378619010414494E+106</v>
      </c>
      <c r="KVE53" s="760">
        <f t="shared" si="161"/>
        <v>3.7469977580726928E+106</v>
      </c>
      <c r="KVF53" s="760">
        <f t="shared" si="161"/>
        <v>3.8594076908148735E+106</v>
      </c>
      <c r="KVG53" s="760">
        <f t="shared" si="161"/>
        <v>3.9751899215393196E+106</v>
      </c>
      <c r="KVH53" s="760">
        <f t="shared" si="161"/>
        <v>4.0944456191854996E+106</v>
      </c>
      <c r="KVI53" s="760">
        <f t="shared" si="161"/>
        <v>4.2172789877610644E+106</v>
      </c>
      <c r="KVJ53" s="760">
        <f t="shared" si="161"/>
        <v>4.3437973573938968E+106</v>
      </c>
      <c r="KVK53" s="760">
        <f t="shared" si="161"/>
        <v>4.4741112781157134E+106</v>
      </c>
      <c r="KVL53" s="760">
        <f t="shared" si="161"/>
        <v>4.6083346164591846E+106</v>
      </c>
      <c r="KVM53" s="760">
        <f t="shared" si="161"/>
        <v>4.74658465495296E+106</v>
      </c>
      <c r="KVN53" s="760">
        <f t="shared" si="161"/>
        <v>4.8889821946015485E+106</v>
      </c>
      <c r="KVO53" s="760">
        <f t="shared" si="161"/>
        <v>5.0356516604395954E+106</v>
      </c>
      <c r="KVP53" s="760">
        <f t="shared" si="161"/>
        <v>5.1867212102527837E+106</v>
      </c>
      <c r="KVQ53" s="760">
        <f t="shared" si="161"/>
        <v>5.3423228465603673E+106</v>
      </c>
      <c r="KVR53" s="760">
        <f t="shared" si="161"/>
        <v>5.5025925319571784E+106</v>
      </c>
      <c r="KVS53" s="760">
        <f t="shared" si="161"/>
        <v>5.6676703079158938E+106</v>
      </c>
      <c r="KVT53" s="760">
        <f t="shared" si="161"/>
        <v>5.8377004171533706E+106</v>
      </c>
      <c r="KVU53" s="760">
        <f t="shared" si="161"/>
        <v>6.012831429667972E+106</v>
      </c>
      <c r="KVV53" s="760">
        <f t="shared" si="161"/>
        <v>6.1932163725580114E+106</v>
      </c>
      <c r="KVW53" s="760">
        <f t="shared" si="161"/>
        <v>6.379012863734752E+106</v>
      </c>
      <c r="KVX53" s="760">
        <f t="shared" si="161"/>
        <v>6.5703832496467945E+106</v>
      </c>
      <c r="KVY53" s="760">
        <f t="shared" si="161"/>
        <v>6.7674947471361988E+106</v>
      </c>
      <c r="KVZ53" s="760">
        <f t="shared" si="161"/>
        <v>6.9705195895502852E+106</v>
      </c>
      <c r="KWA53" s="760">
        <f t="shared" si="161"/>
        <v>7.1796351772367935E+106</v>
      </c>
      <c r="KWB53" s="760">
        <f t="shared" si="161"/>
        <v>7.3950242325538972E+106</v>
      </c>
      <c r="KWC53" s="760">
        <f t="shared" si="161"/>
        <v>7.6168749595305149E+106</v>
      </c>
      <c r="KWD53" s="760">
        <f t="shared" si="161"/>
        <v>7.8453812083164299E+106</v>
      </c>
      <c r="KWE53" s="760">
        <f t="shared" si="161"/>
        <v>8.0807426445659226E+106</v>
      </c>
      <c r="KWF53" s="760">
        <f t="shared" si="161"/>
        <v>8.3231649239029E+106</v>
      </c>
      <c r="KWG53" s="760">
        <f t="shared" si="161"/>
        <v>8.5728598716199868E+106</v>
      </c>
      <c r="KWH53" s="760">
        <f t="shared" si="161"/>
        <v>8.8300456677685873E+106</v>
      </c>
      <c r="KWI53" s="760">
        <f t="shared" si="161"/>
        <v>9.0949470378016445E+106</v>
      </c>
      <c r="KWJ53" s="760">
        <f t="shared" si="161"/>
        <v>9.3677954489356944E+106</v>
      </c>
      <c r="KWK53" s="760">
        <f t="shared" si="161"/>
        <v>9.6488293124037652E+106</v>
      </c>
      <c r="KWL53" s="760">
        <f t="shared" si="161"/>
        <v>9.9382941917758777E+106</v>
      </c>
      <c r="KWM53" s="760">
        <f t="shared" si="161"/>
        <v>1.0236443017529154E+107</v>
      </c>
      <c r="KWN53" s="760">
        <f t="shared" si="161"/>
        <v>1.054353630805503E+107</v>
      </c>
      <c r="KWO53" s="760">
        <f t="shared" si="161"/>
        <v>1.0859842397296681E+107</v>
      </c>
      <c r="KWP53" s="760">
        <f t="shared" si="161"/>
        <v>1.1185637669215581E+107</v>
      </c>
      <c r="KWQ53" s="760">
        <f t="shared" si="161"/>
        <v>1.1521206799292049E+107</v>
      </c>
      <c r="KWR53" s="760">
        <f t="shared" si="161"/>
        <v>1.1866843003270811E+107</v>
      </c>
      <c r="KWS53" s="760">
        <f t="shared" si="161"/>
        <v>1.2222848293368936E+107</v>
      </c>
      <c r="KWT53" s="760">
        <f t="shared" si="161"/>
        <v>1.2589533742170004E+107</v>
      </c>
      <c r="KWU53" s="760">
        <f t="shared" si="161"/>
        <v>1.2967219754435104E+107</v>
      </c>
      <c r="KWV53" s="760">
        <f t="shared" si="161"/>
        <v>1.3356236347068158E+107</v>
      </c>
      <c r="KWW53" s="760">
        <f t="shared" si="161"/>
        <v>1.3756923437480203E+107</v>
      </c>
      <c r="KWX53" s="760">
        <f t="shared" si="161"/>
        <v>1.4169631140604609E+107</v>
      </c>
      <c r="KWY53" s="760">
        <f t="shared" si="161"/>
        <v>1.4594720074822747E+107</v>
      </c>
      <c r="KWZ53" s="760">
        <f t="shared" si="161"/>
        <v>1.503256167706743E+107</v>
      </c>
      <c r="KXA53" s="760">
        <f t="shared" si="161"/>
        <v>1.5483538527379454E+107</v>
      </c>
      <c r="KXB53" s="760">
        <f t="shared" si="161"/>
        <v>1.5948044683200839E+107</v>
      </c>
      <c r="KXC53" s="760">
        <f t="shared" si="161"/>
        <v>1.6426486023696866E+107</v>
      </c>
      <c r="KXD53" s="760">
        <f t="shared" si="161"/>
        <v>1.6919280604407773E+107</v>
      </c>
      <c r="KXE53" s="760">
        <f t="shared" si="161"/>
        <v>1.7426859022540006E+107</v>
      </c>
      <c r="KXF53" s="760">
        <f t="shared" si="161"/>
        <v>1.7949664793216207E+107</v>
      </c>
      <c r="KXG53" s="760">
        <f t="shared" si="161"/>
        <v>1.8488154737012694E+107</v>
      </c>
      <c r="KXH53" s="760">
        <f t="shared" si="161"/>
        <v>1.9042799379123074E+107</v>
      </c>
      <c r="KXI53" s="760">
        <f t="shared" si="161"/>
        <v>1.9614083360496767E+107</v>
      </c>
      <c r="KXJ53" s="760">
        <f t="shared" si="161"/>
        <v>2.0202505861311671E+107</v>
      </c>
      <c r="KXK53" s="760">
        <f t="shared" ref="KXK53:KZV53" si="162">+KXJ53*$C$53</f>
        <v>2.0808581037151022E+107</v>
      </c>
      <c r="KXL53" s="760">
        <f t="shared" si="162"/>
        <v>2.1432838468265553E+107</v>
      </c>
      <c r="KXM53" s="760">
        <f t="shared" si="162"/>
        <v>2.2075823622313518E+107</v>
      </c>
      <c r="KXN53" s="760">
        <f t="shared" si="162"/>
        <v>2.2738098330982926E+107</v>
      </c>
      <c r="KXO53" s="760">
        <f t="shared" si="162"/>
        <v>2.3420241280912413E+107</v>
      </c>
      <c r="KXP53" s="760">
        <f t="shared" si="162"/>
        <v>2.4122848519339787E+107</v>
      </c>
      <c r="KXQ53" s="760">
        <f t="shared" si="162"/>
        <v>2.4846533974919982E+107</v>
      </c>
      <c r="KXR53" s="760">
        <f t="shared" si="162"/>
        <v>2.5591929994167582E+107</v>
      </c>
      <c r="KXS53" s="760">
        <f t="shared" si="162"/>
        <v>2.6359687893992611E+107</v>
      </c>
      <c r="KXT53" s="760">
        <f t="shared" si="162"/>
        <v>2.7150478530812391E+107</v>
      </c>
      <c r="KXU53" s="760">
        <f t="shared" si="162"/>
        <v>2.7964992886736763E+107</v>
      </c>
      <c r="KXV53" s="760">
        <f t="shared" si="162"/>
        <v>2.8803942673338867E+107</v>
      </c>
      <c r="KXW53" s="760">
        <f t="shared" si="162"/>
        <v>2.9668060953539036E+107</v>
      </c>
      <c r="KXX53" s="760">
        <f t="shared" si="162"/>
        <v>3.0558102782145207E+107</v>
      </c>
      <c r="KXY53" s="760">
        <f t="shared" si="162"/>
        <v>3.1474845865609566E+107</v>
      </c>
      <c r="KXZ53" s="760">
        <f t="shared" si="162"/>
        <v>3.2419091241577855E+107</v>
      </c>
      <c r="KYA53" s="760">
        <f t="shared" si="162"/>
        <v>3.339166397882519E+107</v>
      </c>
      <c r="KYB53" s="760">
        <f t="shared" si="162"/>
        <v>3.4393413898189949E+107</v>
      </c>
      <c r="KYC53" s="760">
        <f t="shared" si="162"/>
        <v>3.5425216315135648E+107</v>
      </c>
      <c r="KYD53" s="760">
        <f t="shared" si="162"/>
        <v>3.6487972804589718E+107</v>
      </c>
      <c r="KYE53" s="760">
        <f t="shared" si="162"/>
        <v>3.7582611988727411E+107</v>
      </c>
      <c r="KYF53" s="760">
        <f t="shared" si="162"/>
        <v>3.8710090348389232E+107</v>
      </c>
      <c r="KYG53" s="760">
        <f t="shared" si="162"/>
        <v>3.9871393058840912E+107</v>
      </c>
      <c r="KYH53" s="760">
        <f t="shared" si="162"/>
        <v>4.106753485060614E+107</v>
      </c>
      <c r="KYI53" s="760">
        <f t="shared" si="162"/>
        <v>4.2299560896124325E+107</v>
      </c>
      <c r="KYJ53" s="760">
        <f t="shared" si="162"/>
        <v>4.3568547723008053E+107</v>
      </c>
      <c r="KYK53" s="760">
        <f t="shared" si="162"/>
        <v>4.4875604154698293E+107</v>
      </c>
      <c r="KYL53" s="760">
        <f t="shared" si="162"/>
        <v>4.6221872279339241E+107</v>
      </c>
      <c r="KYM53" s="760">
        <f t="shared" si="162"/>
        <v>4.760852844771942E+107</v>
      </c>
      <c r="KYN53" s="760">
        <f t="shared" si="162"/>
        <v>4.9036784301151002E+107</v>
      </c>
      <c r="KYO53" s="760">
        <f t="shared" si="162"/>
        <v>5.0507887830185533E+107</v>
      </c>
      <c r="KYP53" s="760">
        <f t="shared" si="162"/>
        <v>5.2023124465091097E+107</v>
      </c>
      <c r="KYQ53" s="760">
        <f t="shared" si="162"/>
        <v>5.3583818199043829E+107</v>
      </c>
      <c r="KYR53" s="760">
        <f t="shared" si="162"/>
        <v>5.5191332745015142E+107</v>
      </c>
      <c r="KYS53" s="760">
        <f t="shared" si="162"/>
        <v>5.6847072727365599E+107</v>
      </c>
      <c r="KYT53" s="760">
        <f t="shared" si="162"/>
        <v>5.8552484909186566E+107</v>
      </c>
      <c r="KYU53" s="760">
        <f t="shared" si="162"/>
        <v>6.0309059456462169E+107</v>
      </c>
      <c r="KYV53" s="760">
        <f t="shared" si="162"/>
        <v>6.2118331240156032E+107</v>
      </c>
      <c r="KYW53" s="760">
        <f t="shared" si="162"/>
        <v>6.398188117736072E+107</v>
      </c>
      <c r="KYX53" s="760">
        <f t="shared" si="162"/>
        <v>6.5901337612681543E+107</v>
      </c>
      <c r="KYY53" s="760">
        <f t="shared" si="162"/>
        <v>6.7878377741061985E+107</v>
      </c>
      <c r="KYZ53" s="760">
        <f t="shared" si="162"/>
        <v>6.9914729073293848E+107</v>
      </c>
      <c r="KZA53" s="760">
        <f t="shared" si="162"/>
        <v>7.2012170945492668E+107</v>
      </c>
      <c r="KZB53" s="760">
        <f t="shared" si="162"/>
        <v>7.4172536073857451E+107</v>
      </c>
      <c r="KZC53" s="760">
        <f t="shared" si="162"/>
        <v>7.6397712156073177E+107</v>
      </c>
      <c r="KZD53" s="760">
        <f t="shared" si="162"/>
        <v>7.868964352075537E+107</v>
      </c>
      <c r="KZE53" s="760">
        <f t="shared" si="162"/>
        <v>8.1050332826378038E+107</v>
      </c>
      <c r="KZF53" s="760">
        <f t="shared" si="162"/>
        <v>8.3481842811169378E+107</v>
      </c>
      <c r="KZG53" s="760">
        <f t="shared" si="162"/>
        <v>8.598629809550446E+107</v>
      </c>
      <c r="KZH53" s="760">
        <f t="shared" si="162"/>
        <v>8.8565887038369595E+107</v>
      </c>
      <c r="KZI53" s="760">
        <f t="shared" si="162"/>
        <v>9.122286364952068E+107</v>
      </c>
      <c r="KZJ53" s="760">
        <f t="shared" si="162"/>
        <v>9.39595495590063E+107</v>
      </c>
      <c r="KZK53" s="760">
        <f t="shared" si="162"/>
        <v>9.6778336045776492E+107</v>
      </c>
      <c r="KZL53" s="760">
        <f t="shared" si="162"/>
        <v>9.9681686127149784E+107</v>
      </c>
      <c r="KZM53" s="760">
        <f t="shared" si="162"/>
        <v>1.0267213671096428E+108</v>
      </c>
      <c r="KZN53" s="760">
        <f t="shared" si="162"/>
        <v>1.0575230081229322E+108</v>
      </c>
      <c r="KZO53" s="760">
        <f t="shared" si="162"/>
        <v>1.0892486983666202E+108</v>
      </c>
      <c r="KZP53" s="760">
        <f t="shared" si="162"/>
        <v>1.1219261593176187E+108</v>
      </c>
      <c r="KZQ53" s="760">
        <f t="shared" si="162"/>
        <v>1.1555839440971473E+108</v>
      </c>
      <c r="KZR53" s="760">
        <f t="shared" si="162"/>
        <v>1.1902514624200618E+108</v>
      </c>
      <c r="KZS53" s="760">
        <f t="shared" si="162"/>
        <v>1.2259590062926639E+108</v>
      </c>
      <c r="KZT53" s="760">
        <f t="shared" si="162"/>
        <v>1.2627377764814438E+108</v>
      </c>
      <c r="KZU53" s="760">
        <f t="shared" si="162"/>
        <v>1.3006199097758872E+108</v>
      </c>
      <c r="KZV53" s="760">
        <f t="shared" si="162"/>
        <v>1.3396385070691639E+108</v>
      </c>
      <c r="KZW53" s="760">
        <f t="shared" ref="KZW53:LCH53" si="163">+KZV53*$C$53</f>
        <v>1.3798276622812388E+108</v>
      </c>
      <c r="KZX53" s="760">
        <f t="shared" si="163"/>
        <v>1.4212224921496759E+108</v>
      </c>
      <c r="KZY53" s="760">
        <f t="shared" si="163"/>
        <v>1.4638591669141663E+108</v>
      </c>
      <c r="KZZ53" s="760">
        <f t="shared" si="163"/>
        <v>1.5077749419215912E+108</v>
      </c>
      <c r="LAA53" s="760">
        <f t="shared" si="163"/>
        <v>1.5530081901792389E+108</v>
      </c>
      <c r="LAB53" s="760">
        <f t="shared" si="163"/>
        <v>1.5995984358846161E+108</v>
      </c>
      <c r="LAC53" s="760">
        <f t="shared" si="163"/>
        <v>1.6475863889611547E+108</v>
      </c>
      <c r="LAD53" s="760">
        <f t="shared" si="163"/>
        <v>1.6970139806299895E+108</v>
      </c>
      <c r="LAE53" s="760">
        <f t="shared" si="163"/>
        <v>1.7479244000488892E+108</v>
      </c>
      <c r="LAF53" s="760">
        <f t="shared" si="163"/>
        <v>1.800362132050356E+108</v>
      </c>
      <c r="LAG53" s="760">
        <f t="shared" si="163"/>
        <v>1.8543729960118667E+108</v>
      </c>
      <c r="LAH53" s="760">
        <f t="shared" si="163"/>
        <v>1.9100041858922227E+108</v>
      </c>
      <c r="LAI53" s="760">
        <f t="shared" si="163"/>
        <v>1.9673043114689895E+108</v>
      </c>
      <c r="LAJ53" s="760">
        <f t="shared" si="163"/>
        <v>2.0263234408130593E+108</v>
      </c>
      <c r="LAK53" s="760">
        <f t="shared" si="163"/>
        <v>2.087113144037451E+108</v>
      </c>
      <c r="LAL53" s="760">
        <f t="shared" si="163"/>
        <v>2.1497265383585747E+108</v>
      </c>
      <c r="LAM53" s="760">
        <f t="shared" si="163"/>
        <v>2.214218334509332E+108</v>
      </c>
      <c r="LAN53" s="760">
        <f t="shared" si="163"/>
        <v>2.2806448845446121E+108</v>
      </c>
      <c r="LAO53" s="760">
        <f t="shared" si="163"/>
        <v>2.3490642310809503E+108</v>
      </c>
      <c r="LAP53" s="760">
        <f t="shared" si="163"/>
        <v>2.419536158013379E+108</v>
      </c>
      <c r="LAQ53" s="760">
        <f t="shared" si="163"/>
        <v>2.4921222427537803E+108</v>
      </c>
      <c r="LAR53" s="760">
        <f t="shared" si="163"/>
        <v>2.566885910036394E+108</v>
      </c>
      <c r="LAS53" s="760">
        <f t="shared" si="163"/>
        <v>2.6438924873374859E+108</v>
      </c>
      <c r="LAT53" s="760">
        <f t="shared" si="163"/>
        <v>2.7232092619576104E+108</v>
      </c>
      <c r="LAU53" s="760">
        <f t="shared" si="163"/>
        <v>2.804905539816339E+108</v>
      </c>
      <c r="LAV53" s="760">
        <f t="shared" si="163"/>
        <v>2.8890527060108292E+108</v>
      </c>
      <c r="LAW53" s="760">
        <f t="shared" si="163"/>
        <v>2.9757242871911542E+108</v>
      </c>
      <c r="LAX53" s="760">
        <f t="shared" si="163"/>
        <v>3.0649960158068887E+108</v>
      </c>
      <c r="LAY53" s="760">
        <f t="shared" si="163"/>
        <v>3.1569458962810957E+108</v>
      </c>
      <c r="LAZ53" s="760">
        <f t="shared" si="163"/>
        <v>3.2516542731695286E+108</v>
      </c>
      <c r="LBA53" s="760">
        <f t="shared" si="163"/>
        <v>3.3492039013646145E+108</v>
      </c>
      <c r="LBB53" s="760">
        <f t="shared" si="163"/>
        <v>3.4496800184055531E+108</v>
      </c>
      <c r="LBC53" s="760">
        <f t="shared" si="163"/>
        <v>3.5531704189577196E+108</v>
      </c>
      <c r="LBD53" s="760">
        <f t="shared" si="163"/>
        <v>3.6597655315264513E+108</v>
      </c>
      <c r="LBE53" s="760">
        <f t="shared" si="163"/>
        <v>3.7695584974722451E+108</v>
      </c>
      <c r="LBF53" s="760">
        <f t="shared" si="163"/>
        <v>3.8826452523964126E+108</v>
      </c>
      <c r="LBG53" s="760">
        <f t="shared" si="163"/>
        <v>3.9991246099683052E+108</v>
      </c>
      <c r="LBH53" s="760">
        <f t="shared" si="163"/>
        <v>4.1190983482673545E+108</v>
      </c>
      <c r="LBI53" s="760">
        <f t="shared" si="163"/>
        <v>4.242671298715375E+108</v>
      </c>
      <c r="LBJ53" s="760">
        <f t="shared" si="163"/>
        <v>4.3699514376768362E+108</v>
      </c>
      <c r="LBK53" s="760">
        <f t="shared" si="163"/>
        <v>4.5010499808071412E+108</v>
      </c>
      <c r="LBL53" s="760">
        <f t="shared" si="163"/>
        <v>4.6360814802313557E+108</v>
      </c>
      <c r="LBM53" s="760">
        <f t="shared" si="163"/>
        <v>4.7751639246382964E+108</v>
      </c>
      <c r="LBN53" s="760">
        <f t="shared" si="163"/>
        <v>4.9184188423774452E+108</v>
      </c>
      <c r="LBO53" s="760">
        <f t="shared" si="163"/>
        <v>5.0659714076487685E+108</v>
      </c>
      <c r="LBP53" s="760">
        <f t="shared" si="163"/>
        <v>5.2179505498782316E+108</v>
      </c>
      <c r="LBQ53" s="760">
        <f t="shared" si="163"/>
        <v>5.3744890663745783E+108</v>
      </c>
      <c r="LBR53" s="760">
        <f t="shared" si="163"/>
        <v>5.535723738365816E+108</v>
      </c>
      <c r="LBS53" s="760">
        <f t="shared" si="163"/>
        <v>5.701795450516791E+108</v>
      </c>
      <c r="LBT53" s="760">
        <f t="shared" si="163"/>
        <v>5.8728493140322951E+108</v>
      </c>
      <c r="LBU53" s="760">
        <f t="shared" si="163"/>
        <v>6.049034793453264E+108</v>
      </c>
      <c r="LBV53" s="760">
        <f t="shared" si="163"/>
        <v>6.2305058372568618E+108</v>
      </c>
      <c r="LBW53" s="760">
        <f t="shared" si="163"/>
        <v>6.4174210123745674E+108</v>
      </c>
      <c r="LBX53" s="760">
        <f t="shared" si="163"/>
        <v>6.6099436427458048E+108</v>
      </c>
      <c r="LBY53" s="760">
        <f t="shared" si="163"/>
        <v>6.8082419520281795E+108</v>
      </c>
      <c r="LBZ53" s="760">
        <f t="shared" si="163"/>
        <v>7.0124892105890252E+108</v>
      </c>
      <c r="LCA53" s="760">
        <f t="shared" si="163"/>
        <v>7.2228638869066963E+108</v>
      </c>
      <c r="LCB53" s="760">
        <f t="shared" si="163"/>
        <v>7.4395498035138979E+108</v>
      </c>
      <c r="LCC53" s="760">
        <f t="shared" si="163"/>
        <v>7.6627362976193149E+108</v>
      </c>
      <c r="LCD53" s="760">
        <f t="shared" si="163"/>
        <v>7.8926183865478944E+108</v>
      </c>
      <c r="LCE53" s="760">
        <f t="shared" si="163"/>
        <v>8.1293969381443311E+108</v>
      </c>
      <c r="LCF53" s="760">
        <f t="shared" si="163"/>
        <v>8.3732788462886609E+108</v>
      </c>
      <c r="LCG53" s="760">
        <f t="shared" si="163"/>
        <v>8.6244772116773212E+108</v>
      </c>
      <c r="LCH53" s="760">
        <f t="shared" si="163"/>
        <v>8.8832115280276406E+108</v>
      </c>
      <c r="LCI53" s="760">
        <f t="shared" ref="LCI53:LET53" si="164">+LCH53*$C$53</f>
        <v>9.1497078738684704E+108</v>
      </c>
      <c r="LCJ53" s="760">
        <f t="shared" si="164"/>
        <v>9.4241991100845242E+108</v>
      </c>
      <c r="LCK53" s="760">
        <f t="shared" si="164"/>
        <v>9.7069250833870605E+108</v>
      </c>
      <c r="LCL53" s="760">
        <f t="shared" si="164"/>
        <v>9.9981328358886723E+108</v>
      </c>
      <c r="LCM53" s="760">
        <f t="shared" si="164"/>
        <v>1.0298076820965332E+109</v>
      </c>
      <c r="LCN53" s="760">
        <f t="shared" si="164"/>
        <v>1.0607019125594292E+109</v>
      </c>
      <c r="LCO53" s="760">
        <f t="shared" si="164"/>
        <v>1.0925229699362122E+109</v>
      </c>
      <c r="LCP53" s="760">
        <f t="shared" si="164"/>
        <v>1.1252986590342986E+109</v>
      </c>
      <c r="LCQ53" s="760">
        <f t="shared" si="164"/>
        <v>1.1590576188053275E+109</v>
      </c>
      <c r="LCR53" s="760">
        <f t="shared" si="164"/>
        <v>1.1938293473694873E+109</v>
      </c>
      <c r="LCS53" s="760">
        <f t="shared" si="164"/>
        <v>1.229644227790572E+109</v>
      </c>
      <c r="LCT53" s="760">
        <f t="shared" si="164"/>
        <v>1.2665335546242891E+109</v>
      </c>
      <c r="LCU53" s="760">
        <f t="shared" si="164"/>
        <v>1.3045295612630177E+109</v>
      </c>
      <c r="LCV53" s="760">
        <f t="shared" si="164"/>
        <v>1.3436654481009084E+109</v>
      </c>
      <c r="LCW53" s="760">
        <f t="shared" si="164"/>
        <v>1.3839754115439356E+109</v>
      </c>
      <c r="LCX53" s="760">
        <f t="shared" si="164"/>
        <v>1.4254946738902537E+109</v>
      </c>
      <c r="LCY53" s="760">
        <f t="shared" si="164"/>
        <v>1.4682595141069613E+109</v>
      </c>
      <c r="LCZ53" s="760">
        <f t="shared" si="164"/>
        <v>1.5123072995301702E+109</v>
      </c>
      <c r="LDA53" s="760">
        <f t="shared" si="164"/>
        <v>1.5576765185160752E+109</v>
      </c>
      <c r="LDB53" s="760">
        <f t="shared" si="164"/>
        <v>1.6044068140715576E+109</v>
      </c>
      <c r="LDC53" s="760">
        <f t="shared" si="164"/>
        <v>1.6525390184937044E+109</v>
      </c>
      <c r="LDD53" s="760">
        <f t="shared" si="164"/>
        <v>1.7021151890485157E+109</v>
      </c>
      <c r="LDE53" s="760">
        <f t="shared" si="164"/>
        <v>1.7531786447199713E+109</v>
      </c>
      <c r="LDF53" s="760">
        <f t="shared" si="164"/>
        <v>1.8057740040615705E+109</v>
      </c>
      <c r="LDG53" s="760">
        <f t="shared" si="164"/>
        <v>1.8599472241834176E+109</v>
      </c>
      <c r="LDH53" s="760">
        <f t="shared" si="164"/>
        <v>1.9157456409089203E+109</v>
      </c>
      <c r="LDI53" s="760">
        <f t="shared" si="164"/>
        <v>1.9732180101361882E+109</v>
      </c>
      <c r="LDJ53" s="760">
        <f t="shared" si="164"/>
        <v>2.0324145504402741E+109</v>
      </c>
      <c r="LDK53" s="760">
        <f t="shared" si="164"/>
        <v>2.0933869869534826E+109</v>
      </c>
      <c r="LDL53" s="760">
        <f t="shared" si="164"/>
        <v>2.1561885965620872E+109</v>
      </c>
      <c r="LDM53" s="760">
        <f t="shared" si="164"/>
        <v>2.22087425445895E+109</v>
      </c>
      <c r="LDN53" s="760">
        <f t="shared" si="164"/>
        <v>2.2875004820927184E+109</v>
      </c>
      <c r="LDO53" s="760">
        <f t="shared" si="164"/>
        <v>2.3561254965555E+109</v>
      </c>
      <c r="LDP53" s="760">
        <f t="shared" si="164"/>
        <v>2.4268092614521652E+109</v>
      </c>
      <c r="LDQ53" s="760">
        <f t="shared" si="164"/>
        <v>2.4996135392957303E+109</v>
      </c>
      <c r="LDR53" s="760">
        <f t="shared" si="164"/>
        <v>2.5746019454746024E+109</v>
      </c>
      <c r="LDS53" s="760">
        <f t="shared" si="164"/>
        <v>2.6518400038388405E+109</v>
      </c>
      <c r="LDT53" s="760">
        <f t="shared" si="164"/>
        <v>2.7313952039540056E+109</v>
      </c>
      <c r="LDU53" s="760">
        <f t="shared" si="164"/>
        <v>2.8133370600726259E+109</v>
      </c>
      <c r="LDV53" s="760">
        <f t="shared" si="164"/>
        <v>2.8977371718748047E+109</v>
      </c>
      <c r="LDW53" s="760">
        <f t="shared" si="164"/>
        <v>2.9846692870310488E+109</v>
      </c>
      <c r="LDX53" s="760">
        <f t="shared" si="164"/>
        <v>3.0742093656419802E+109</v>
      </c>
      <c r="LDY53" s="760">
        <f t="shared" si="164"/>
        <v>3.1664356466112395E+109</v>
      </c>
      <c r="LDZ53" s="760">
        <f t="shared" si="164"/>
        <v>3.2614287160095767E+109</v>
      </c>
      <c r="LEA53" s="760">
        <f t="shared" si="164"/>
        <v>3.3592715774898641E+109</v>
      </c>
      <c r="LEB53" s="760">
        <f t="shared" si="164"/>
        <v>3.4600497248145602E+109</v>
      </c>
      <c r="LEC53" s="760">
        <f t="shared" si="164"/>
        <v>3.563851216558997E+109</v>
      </c>
      <c r="LED53" s="760">
        <f t="shared" si="164"/>
        <v>3.6707667530557668E+109</v>
      </c>
      <c r="LEE53" s="760">
        <f t="shared" si="164"/>
        <v>3.7808897556474397E+109</v>
      </c>
      <c r="LEF53" s="760">
        <f t="shared" si="164"/>
        <v>3.8943164483168632E+109</v>
      </c>
      <c r="LEG53" s="760">
        <f t="shared" si="164"/>
        <v>4.0111459417663691E+109</v>
      </c>
      <c r="LEH53" s="760">
        <f t="shared" si="164"/>
        <v>4.1314803200193605E+109</v>
      </c>
      <c r="LEI53" s="760">
        <f t="shared" si="164"/>
        <v>4.2554247296199414E+109</v>
      </c>
      <c r="LEJ53" s="760">
        <f t="shared" si="164"/>
        <v>4.3830874715085396E+109</v>
      </c>
      <c r="LEK53" s="760">
        <f t="shared" si="164"/>
        <v>4.5145800956537956E+109</v>
      </c>
      <c r="LEL53" s="760">
        <f t="shared" si="164"/>
        <v>4.6500174985234098E+109</v>
      </c>
      <c r="LEM53" s="760">
        <f t="shared" si="164"/>
        <v>4.7895180234791123E+109</v>
      </c>
      <c r="LEN53" s="760">
        <f t="shared" si="164"/>
        <v>4.9332035641834857E+109</v>
      </c>
      <c r="LEO53" s="760">
        <f t="shared" si="164"/>
        <v>5.0811996711089902E+109</v>
      </c>
      <c r="LEP53" s="760">
        <f t="shared" si="164"/>
        <v>5.2336356612422602E+109</v>
      </c>
      <c r="LEQ53" s="760">
        <f t="shared" si="164"/>
        <v>5.3906447310795278E+109</v>
      </c>
      <c r="LER53" s="760">
        <f t="shared" si="164"/>
        <v>5.5523640730119138E+109</v>
      </c>
      <c r="LES53" s="760">
        <f t="shared" si="164"/>
        <v>5.7189349952022714E+109</v>
      </c>
      <c r="LET53" s="760">
        <f t="shared" si="164"/>
        <v>5.89050304505834E+109</v>
      </c>
      <c r="LEU53" s="760">
        <f t="shared" ref="LEU53:LHF53" si="165">+LET53*$C$53</f>
        <v>6.0672181364100905E+109</v>
      </c>
      <c r="LEV53" s="760">
        <f t="shared" si="165"/>
        <v>6.249234680502393E+109</v>
      </c>
      <c r="LEW53" s="760">
        <f t="shared" si="165"/>
        <v>6.4367117209174645E+109</v>
      </c>
      <c r="LEX53" s="760">
        <f t="shared" si="165"/>
        <v>6.6298130725449886E+109</v>
      </c>
      <c r="LEY53" s="760">
        <f t="shared" si="165"/>
        <v>6.8287074647213386E+109</v>
      </c>
      <c r="LEZ53" s="760">
        <f t="shared" si="165"/>
        <v>7.0335686886629785E+109</v>
      </c>
      <c r="LFA53" s="760">
        <f t="shared" si="165"/>
        <v>7.2445757493228682E+109</v>
      </c>
      <c r="LFB53" s="760">
        <f t="shared" si="165"/>
        <v>7.4619130218025542E+109</v>
      </c>
      <c r="LFC53" s="760">
        <f t="shared" si="165"/>
        <v>7.6857704124566317E+109</v>
      </c>
      <c r="LFD53" s="760">
        <f t="shared" si="165"/>
        <v>7.9163435248303309E+109</v>
      </c>
      <c r="LFE53" s="760">
        <f t="shared" si="165"/>
        <v>8.1538338305752418E+109</v>
      </c>
      <c r="LFF53" s="760">
        <f t="shared" si="165"/>
        <v>8.3984488454924995E+109</v>
      </c>
      <c r="LFG53" s="760">
        <f t="shared" si="165"/>
        <v>8.6504023108572754E+109</v>
      </c>
      <c r="LFH53" s="760">
        <f t="shared" si="165"/>
        <v>8.9099143801829944E+109</v>
      </c>
      <c r="LFI53" s="760">
        <f t="shared" si="165"/>
        <v>9.1772118115884837E+109</v>
      </c>
      <c r="LFJ53" s="760">
        <f t="shared" si="165"/>
        <v>9.452528165936139E+109</v>
      </c>
      <c r="LFK53" s="760">
        <f t="shared" si="165"/>
        <v>9.7361040109142233E+109</v>
      </c>
      <c r="LFL53" s="760">
        <f t="shared" si="165"/>
        <v>1.0028187131241651E+110</v>
      </c>
      <c r="LFM53" s="760">
        <f t="shared" si="165"/>
        <v>1.0329032745178901E+110</v>
      </c>
      <c r="LFN53" s="760">
        <f t="shared" si="165"/>
        <v>1.0638903727534269E+110</v>
      </c>
      <c r="LFO53" s="760">
        <f t="shared" si="165"/>
        <v>1.0958070839360297E+110</v>
      </c>
      <c r="LFP53" s="760">
        <f t="shared" si="165"/>
        <v>1.1286812964541107E+110</v>
      </c>
      <c r="LFQ53" s="760">
        <f t="shared" si="165"/>
        <v>1.162541735347734E+110</v>
      </c>
      <c r="LFR53" s="760">
        <f t="shared" si="165"/>
        <v>1.1974179874081662E+110</v>
      </c>
      <c r="LFS53" s="760">
        <f t="shared" si="165"/>
        <v>1.2333405270304111E+110</v>
      </c>
      <c r="LFT53" s="760">
        <f t="shared" si="165"/>
        <v>1.2703407428413235E+110</v>
      </c>
      <c r="LFU53" s="760">
        <f t="shared" si="165"/>
        <v>1.3084509651265632E+110</v>
      </c>
      <c r="LFV53" s="760">
        <f t="shared" si="165"/>
        <v>1.3477044940803601E+110</v>
      </c>
      <c r="LFW53" s="760">
        <f t="shared" si="165"/>
        <v>1.3881356289027709E+110</v>
      </c>
      <c r="LFX53" s="760">
        <f t="shared" si="165"/>
        <v>1.4297796977698541E+110</v>
      </c>
      <c r="LFY53" s="760">
        <f t="shared" si="165"/>
        <v>1.4726730887029498E+110</v>
      </c>
      <c r="LFZ53" s="760">
        <f t="shared" si="165"/>
        <v>1.5168532813640384E+110</v>
      </c>
      <c r="LGA53" s="760">
        <f t="shared" si="165"/>
        <v>1.5623588798049597E+110</v>
      </c>
      <c r="LGB53" s="760">
        <f t="shared" si="165"/>
        <v>1.6092296461991087E+110</v>
      </c>
      <c r="LGC53" s="760">
        <f t="shared" si="165"/>
        <v>1.6575065355850819E+110</v>
      </c>
      <c r="LGD53" s="760">
        <f t="shared" si="165"/>
        <v>1.7072317316526344E+110</v>
      </c>
      <c r="LGE53" s="760">
        <f t="shared" si="165"/>
        <v>1.7584486836022136E+110</v>
      </c>
      <c r="LGF53" s="760">
        <f t="shared" si="165"/>
        <v>1.81120214411028E+110</v>
      </c>
      <c r="LGG53" s="760">
        <f t="shared" si="165"/>
        <v>1.8655382084335884E+110</v>
      </c>
      <c r="LGH53" s="760">
        <f t="shared" si="165"/>
        <v>1.9215043546865961E+110</v>
      </c>
      <c r="LGI53" s="760">
        <f t="shared" si="165"/>
        <v>1.9791494853271939E+110</v>
      </c>
      <c r="LGJ53" s="760">
        <f t="shared" si="165"/>
        <v>2.0385239698870097E+110</v>
      </c>
      <c r="LGK53" s="760">
        <f t="shared" si="165"/>
        <v>2.09967968898362E+110</v>
      </c>
      <c r="LGL53" s="760">
        <f t="shared" si="165"/>
        <v>2.1626700796531286E+110</v>
      </c>
      <c r="LGM53" s="760">
        <f t="shared" si="165"/>
        <v>2.2275501820427225E+110</v>
      </c>
      <c r="LGN53" s="760">
        <f t="shared" si="165"/>
        <v>2.2943766875040043E+110</v>
      </c>
      <c r="LGO53" s="760">
        <f t="shared" si="165"/>
        <v>2.3632079881291246E+110</v>
      </c>
      <c r="LGP53" s="760">
        <f t="shared" si="165"/>
        <v>2.4341042277729984E+110</v>
      </c>
      <c r="LGQ53" s="760">
        <f t="shared" si="165"/>
        <v>2.5071273546061882E+110</v>
      </c>
      <c r="LGR53" s="760">
        <f t="shared" si="165"/>
        <v>2.5823411752443741E+110</v>
      </c>
      <c r="LGS53" s="760">
        <f t="shared" si="165"/>
        <v>2.6598114105017052E+110</v>
      </c>
      <c r="LGT53" s="760">
        <f t="shared" si="165"/>
        <v>2.7396057528167565E+110</v>
      </c>
      <c r="LGU53" s="760">
        <f t="shared" si="165"/>
        <v>2.8217939254012592E+110</v>
      </c>
      <c r="LGV53" s="760">
        <f t="shared" si="165"/>
        <v>2.906447743163297E+110</v>
      </c>
      <c r="LGW53" s="760">
        <f t="shared" si="165"/>
        <v>2.9936411754581961E+110</v>
      </c>
      <c r="LGX53" s="760">
        <f t="shared" si="165"/>
        <v>3.0834504107219419E+110</v>
      </c>
      <c r="LGY53" s="760">
        <f t="shared" si="165"/>
        <v>3.1759539230436005E+110</v>
      </c>
      <c r="LGZ53" s="760">
        <f t="shared" si="165"/>
        <v>3.2712325407349089E+110</v>
      </c>
      <c r="LHA53" s="760">
        <f t="shared" si="165"/>
        <v>3.3693695169569563E+110</v>
      </c>
      <c r="LHB53" s="760">
        <f t="shared" si="165"/>
        <v>3.4704506024656648E+110</v>
      </c>
      <c r="LHC53" s="760">
        <f t="shared" si="165"/>
        <v>3.5745641205396349E+110</v>
      </c>
      <c r="LHD53" s="760">
        <f t="shared" si="165"/>
        <v>3.6818010441558242E+110</v>
      </c>
      <c r="LHE53" s="760">
        <f t="shared" si="165"/>
        <v>3.7922550754804993E+110</v>
      </c>
      <c r="LHF53" s="760">
        <f t="shared" si="165"/>
        <v>3.9060227277449143E+110</v>
      </c>
      <c r="LHG53" s="760">
        <f t="shared" ref="LHG53:LJR53" si="166">+LHF53*$C$53</f>
        <v>4.0232034095772621E+110</v>
      </c>
      <c r="LHH53" s="760">
        <f t="shared" si="166"/>
        <v>4.14389951186458E+110</v>
      </c>
      <c r="LHI53" s="760">
        <f t="shared" si="166"/>
        <v>4.2682164972205176E+110</v>
      </c>
      <c r="LHJ53" s="760">
        <f t="shared" si="166"/>
        <v>4.3962629921371333E+110</v>
      </c>
      <c r="LHK53" s="760">
        <f t="shared" si="166"/>
        <v>4.5281508819012471E+110</v>
      </c>
      <c r="LHL53" s="760">
        <f t="shared" si="166"/>
        <v>4.6639954083582848E+110</v>
      </c>
      <c r="LHM53" s="760">
        <f t="shared" si="166"/>
        <v>4.8039152706090333E+110</v>
      </c>
      <c r="LHN53" s="760">
        <f t="shared" si="166"/>
        <v>4.9480327287273044E+110</v>
      </c>
      <c r="LHO53" s="760">
        <f t="shared" si="166"/>
        <v>5.0964737105891235E+110</v>
      </c>
      <c r="LHP53" s="760">
        <f t="shared" si="166"/>
        <v>5.2493679219067973E+110</v>
      </c>
      <c r="LHQ53" s="760">
        <f t="shared" si="166"/>
        <v>5.4068489595640015E+110</v>
      </c>
      <c r="LHR53" s="760">
        <f t="shared" si="166"/>
        <v>5.5690544283509217E+110</v>
      </c>
      <c r="LHS53" s="760">
        <f t="shared" si="166"/>
        <v>5.7361260612014493E+110</v>
      </c>
      <c r="LHT53" s="760">
        <f t="shared" si="166"/>
        <v>5.9082098430374928E+110</v>
      </c>
      <c r="LHU53" s="760">
        <f t="shared" si="166"/>
        <v>6.0854561383286182E+110</v>
      </c>
      <c r="LHV53" s="760">
        <f t="shared" si="166"/>
        <v>6.2680198224784767E+110</v>
      </c>
      <c r="LHW53" s="760">
        <f t="shared" si="166"/>
        <v>6.4560604171528317E+110</v>
      </c>
      <c r="LHX53" s="760">
        <f t="shared" si="166"/>
        <v>6.6497422296674172E+110</v>
      </c>
      <c r="LHY53" s="760">
        <f t="shared" si="166"/>
        <v>6.8492344965574395E+110</v>
      </c>
      <c r="LHZ53" s="760">
        <f t="shared" si="166"/>
        <v>7.0547115314541634E+110</v>
      </c>
      <c r="LIA53" s="760">
        <f t="shared" si="166"/>
        <v>7.2663528773977883E+110</v>
      </c>
      <c r="LIB53" s="760">
        <f t="shared" si="166"/>
        <v>7.4843434637197224E+110</v>
      </c>
      <c r="LIC53" s="760">
        <f t="shared" si="166"/>
        <v>7.7088737676313137E+110</v>
      </c>
      <c r="LID53" s="760">
        <f t="shared" si="166"/>
        <v>7.9401399806602529E+110</v>
      </c>
      <c r="LIE53" s="760">
        <f t="shared" si="166"/>
        <v>8.1783441800800609E+110</v>
      </c>
      <c r="LIF53" s="760">
        <f t="shared" si="166"/>
        <v>8.423694505482463E+110</v>
      </c>
      <c r="LIG53" s="760">
        <f t="shared" si="166"/>
        <v>8.6764053406469374E+110</v>
      </c>
      <c r="LIH53" s="760">
        <f t="shared" si="166"/>
        <v>8.9366975008663455E+110</v>
      </c>
      <c r="LII53" s="760">
        <f t="shared" si="166"/>
        <v>9.2047984258923364E+110</v>
      </c>
      <c r="LIJ53" s="760">
        <f t="shared" si="166"/>
        <v>9.4809423786691065E+110</v>
      </c>
      <c r="LIK53" s="760">
        <f t="shared" si="166"/>
        <v>9.7653706500291798E+110</v>
      </c>
      <c r="LIL53" s="760">
        <f t="shared" si="166"/>
        <v>1.0058331769530056E+111</v>
      </c>
      <c r="LIM53" s="760">
        <f t="shared" si="166"/>
        <v>1.0360081722615958E+111</v>
      </c>
      <c r="LIN53" s="760">
        <f t="shared" si="166"/>
        <v>1.0670884174294437E+111</v>
      </c>
      <c r="LIO53" s="760">
        <f t="shared" si="166"/>
        <v>1.0991010699523271E+111</v>
      </c>
      <c r="LIP53" s="760">
        <f t="shared" si="166"/>
        <v>1.1320741020508969E+111</v>
      </c>
      <c r="LIQ53" s="760">
        <f t="shared" si="166"/>
        <v>1.1660363251124238E+111</v>
      </c>
      <c r="LIR53" s="760">
        <f t="shared" si="166"/>
        <v>1.2010174148657965E+111</v>
      </c>
      <c r="LIS53" s="760">
        <f t="shared" si="166"/>
        <v>1.2370479373117704E+111</v>
      </c>
      <c r="LIT53" s="760">
        <f t="shared" si="166"/>
        <v>1.2741593754311237E+111</v>
      </c>
      <c r="LIU53" s="760">
        <f t="shared" si="166"/>
        <v>1.3123841566940575E+111</v>
      </c>
      <c r="LIV53" s="760">
        <f t="shared" si="166"/>
        <v>1.3517556813948794E+111</v>
      </c>
      <c r="LIW53" s="760">
        <f t="shared" si="166"/>
        <v>1.3923083518367258E+111</v>
      </c>
      <c r="LIX53" s="760">
        <f t="shared" si="166"/>
        <v>1.4340776023918275E+111</v>
      </c>
      <c r="LIY53" s="760">
        <f t="shared" si="166"/>
        <v>1.4770999304635823E+111</v>
      </c>
      <c r="LIZ53" s="760">
        <f t="shared" si="166"/>
        <v>1.5214129283774897E+111</v>
      </c>
      <c r="LJA53" s="760">
        <f t="shared" si="166"/>
        <v>1.5670553162288145E+111</v>
      </c>
      <c r="LJB53" s="760">
        <f t="shared" si="166"/>
        <v>1.614066975715679E+111</v>
      </c>
      <c r="LJC53" s="760">
        <f t="shared" si="166"/>
        <v>1.6624889849871496E+111</v>
      </c>
      <c r="LJD53" s="760">
        <f t="shared" si="166"/>
        <v>1.7123636545367641E+111</v>
      </c>
      <c r="LJE53" s="760">
        <f t="shared" si="166"/>
        <v>1.763734564172867E+111</v>
      </c>
      <c r="LJF53" s="760">
        <f t="shared" si="166"/>
        <v>1.816646601098053E+111</v>
      </c>
      <c r="LJG53" s="760">
        <f t="shared" si="166"/>
        <v>1.8711459991309946E+111</v>
      </c>
      <c r="LJH53" s="760">
        <f t="shared" si="166"/>
        <v>1.9272803791049246E+111</v>
      </c>
      <c r="LJI53" s="760">
        <f t="shared" si="166"/>
        <v>1.9850987904780724E+111</v>
      </c>
      <c r="LJJ53" s="760">
        <f t="shared" si="166"/>
        <v>2.0446517541924146E+111</v>
      </c>
      <c r="LJK53" s="760">
        <f t="shared" si="166"/>
        <v>2.105991306818187E+111</v>
      </c>
      <c r="LJL53" s="760">
        <f t="shared" si="166"/>
        <v>2.1691710460227327E+111</v>
      </c>
      <c r="LJM53" s="760">
        <f t="shared" si="166"/>
        <v>2.2342461774034148E+111</v>
      </c>
      <c r="LJN53" s="760">
        <f t="shared" si="166"/>
        <v>2.3012735627255172E+111</v>
      </c>
      <c r="LJO53" s="760">
        <f t="shared" si="166"/>
        <v>2.3703117696072828E+111</v>
      </c>
      <c r="LJP53" s="760">
        <f t="shared" si="166"/>
        <v>2.4414211226955016E+111</v>
      </c>
      <c r="LJQ53" s="760">
        <f t="shared" si="166"/>
        <v>2.5146637563763664E+111</v>
      </c>
      <c r="LJR53" s="760">
        <f t="shared" si="166"/>
        <v>2.5901036690676572E+111</v>
      </c>
      <c r="LJS53" s="760">
        <f t="shared" ref="LJS53:LMD53" si="167">+LJR53*$C$53</f>
        <v>2.6678067791396871E+111</v>
      </c>
      <c r="LJT53" s="760">
        <f t="shared" si="167"/>
        <v>2.7478409825138778E+111</v>
      </c>
      <c r="LJU53" s="760">
        <f t="shared" si="167"/>
        <v>2.8302762119892942E+111</v>
      </c>
      <c r="LJV53" s="760">
        <f t="shared" si="167"/>
        <v>2.915184498348973E+111</v>
      </c>
      <c r="LJW53" s="760">
        <f t="shared" si="167"/>
        <v>3.0026400332994425E+111</v>
      </c>
      <c r="LJX53" s="760">
        <f t="shared" si="167"/>
        <v>3.0927192342984256E+111</v>
      </c>
      <c r="LJY53" s="760">
        <f t="shared" si="167"/>
        <v>3.1855008113273787E+111</v>
      </c>
      <c r="LJZ53" s="760">
        <f t="shared" si="167"/>
        <v>3.2810658356672004E+111</v>
      </c>
      <c r="LKA53" s="760">
        <f t="shared" si="167"/>
        <v>3.3794978107372167E+111</v>
      </c>
      <c r="LKB53" s="760">
        <f t="shared" si="167"/>
        <v>3.4808827450593334E+111</v>
      </c>
      <c r="LKC53" s="760">
        <f t="shared" si="167"/>
        <v>3.5853092274111132E+111</v>
      </c>
      <c r="LKD53" s="760">
        <f t="shared" si="167"/>
        <v>3.692868504233447E+111</v>
      </c>
      <c r="LKE53" s="760">
        <f t="shared" si="167"/>
        <v>3.8036545593604502E+111</v>
      </c>
      <c r="LKF53" s="760">
        <f t="shared" si="167"/>
        <v>3.9177641961412638E+111</v>
      </c>
      <c r="LKG53" s="760">
        <f t="shared" si="167"/>
        <v>4.0352971220255017E+111</v>
      </c>
      <c r="LKH53" s="760">
        <f t="shared" si="167"/>
        <v>4.1563560356862667E+111</v>
      </c>
      <c r="LKI53" s="760">
        <f t="shared" si="167"/>
        <v>4.2810467167568546E+111</v>
      </c>
      <c r="LKJ53" s="760">
        <f t="shared" si="167"/>
        <v>4.4094781182595603E+111</v>
      </c>
      <c r="LKK53" s="760">
        <f t="shared" si="167"/>
        <v>4.541762461807347E+111</v>
      </c>
      <c r="LKL53" s="760">
        <f t="shared" si="167"/>
        <v>4.6780153356615674E+111</v>
      </c>
      <c r="LKM53" s="760">
        <f t="shared" si="167"/>
        <v>4.8183557957314145E+111</v>
      </c>
      <c r="LKN53" s="760">
        <f t="shared" si="167"/>
        <v>4.9629064696033566E+111</v>
      </c>
      <c r="LKO53" s="760">
        <f t="shared" si="167"/>
        <v>5.1117936636914575E+111</v>
      </c>
      <c r="LKP53" s="760">
        <f t="shared" si="167"/>
        <v>5.265147473602201E+111</v>
      </c>
      <c r="LKQ53" s="760">
        <f t="shared" si="167"/>
        <v>5.4231018978102673E+111</v>
      </c>
      <c r="LKR53" s="760">
        <f t="shared" si="167"/>
        <v>5.585794954744575E+111</v>
      </c>
      <c r="LKS53" s="760">
        <f t="shared" si="167"/>
        <v>5.7533688033869124E+111</v>
      </c>
      <c r="LKT53" s="760">
        <f t="shared" si="167"/>
        <v>5.9259698674885202E+111</v>
      </c>
      <c r="LKU53" s="760">
        <f t="shared" si="167"/>
        <v>6.1037489635131761E+111</v>
      </c>
      <c r="LKV53" s="760">
        <f t="shared" si="167"/>
        <v>6.2868614324185715E+111</v>
      </c>
      <c r="LKW53" s="760">
        <f t="shared" si="167"/>
        <v>6.4754672753911285E+111</v>
      </c>
      <c r="LKX53" s="760">
        <f t="shared" si="167"/>
        <v>6.6697312936528628E+111</v>
      </c>
      <c r="LKY53" s="760">
        <f t="shared" si="167"/>
        <v>6.8698232324624484E+111</v>
      </c>
      <c r="LKZ53" s="760">
        <f t="shared" si="167"/>
        <v>7.0759179294363225E+111</v>
      </c>
      <c r="LLA53" s="760">
        <f t="shared" si="167"/>
        <v>7.2881954673194125E+111</v>
      </c>
      <c r="LLB53" s="760">
        <f t="shared" si="167"/>
        <v>7.506841331338995E+111</v>
      </c>
      <c r="LLC53" s="760">
        <f t="shared" si="167"/>
        <v>7.7320465712791646E+111</v>
      </c>
      <c r="LLD53" s="760">
        <f t="shared" si="167"/>
        <v>7.9640079684175392E+111</v>
      </c>
      <c r="LLE53" s="760">
        <f t="shared" si="167"/>
        <v>8.2029282074700655E+111</v>
      </c>
      <c r="LLF53" s="760">
        <f t="shared" si="167"/>
        <v>8.4490160536941679E+111</v>
      </c>
      <c r="LLG53" s="760">
        <f t="shared" si="167"/>
        <v>8.7024865353049933E+111</v>
      </c>
      <c r="LLH53" s="760">
        <f t="shared" si="167"/>
        <v>8.9635611313641434E+111</v>
      </c>
      <c r="LLI53" s="760">
        <f t="shared" si="167"/>
        <v>9.2324679653050684E+111</v>
      </c>
      <c r="LLJ53" s="760">
        <f t="shared" si="167"/>
        <v>9.5094420042642209E+111</v>
      </c>
      <c r="LLK53" s="760">
        <f t="shared" si="167"/>
        <v>9.794725264392148E+111</v>
      </c>
      <c r="LLL53" s="760">
        <f t="shared" si="167"/>
        <v>1.0088567022323912E+112</v>
      </c>
      <c r="LLM53" s="760">
        <f t="shared" si="167"/>
        <v>1.039122403299363E+112</v>
      </c>
      <c r="LLN53" s="760">
        <f t="shared" si="167"/>
        <v>1.0702960753983439E+112</v>
      </c>
      <c r="LLO53" s="760">
        <f t="shared" si="167"/>
        <v>1.1024049576602943E+112</v>
      </c>
      <c r="LLP53" s="760">
        <f t="shared" si="167"/>
        <v>1.1354771063901032E+112</v>
      </c>
      <c r="LLQ53" s="760">
        <f t="shared" si="167"/>
        <v>1.1695414195818064E+112</v>
      </c>
      <c r="LLR53" s="760">
        <f t="shared" si="167"/>
        <v>1.2046276621692606E+112</v>
      </c>
      <c r="LLS53" s="760">
        <f t="shared" si="167"/>
        <v>1.2407664920343384E+112</v>
      </c>
      <c r="LLT53" s="760">
        <f t="shared" si="167"/>
        <v>1.2779894867953687E+112</v>
      </c>
      <c r="LLU53" s="760">
        <f t="shared" si="167"/>
        <v>1.3163291713992298E+112</v>
      </c>
      <c r="LLV53" s="760">
        <f t="shared" si="167"/>
        <v>1.3558190465412068E+112</v>
      </c>
      <c r="LLW53" s="760">
        <f t="shared" si="167"/>
        <v>1.3964936179374431E+112</v>
      </c>
      <c r="LLX53" s="760">
        <f t="shared" si="167"/>
        <v>1.4383884264755664E+112</v>
      </c>
      <c r="LLY53" s="760">
        <f t="shared" si="167"/>
        <v>1.4815400792698334E+112</v>
      </c>
      <c r="LLZ53" s="760">
        <f t="shared" si="167"/>
        <v>1.5259862816479285E+112</v>
      </c>
      <c r="LMA53" s="760">
        <f t="shared" si="167"/>
        <v>1.5717658700973663E+112</v>
      </c>
      <c r="LMB53" s="760">
        <f t="shared" si="167"/>
        <v>1.6189188462002874E+112</v>
      </c>
      <c r="LMC53" s="760">
        <f t="shared" si="167"/>
        <v>1.667486411586296E+112</v>
      </c>
      <c r="LMD53" s="760">
        <f t="shared" si="167"/>
        <v>1.7175110039338849E+112</v>
      </c>
      <c r="LME53" s="760">
        <f t="shared" ref="LME53:LOP53" si="168">+LMD53*$C$53</f>
        <v>1.7690363340519014E+112</v>
      </c>
      <c r="LMF53" s="760">
        <f t="shared" si="168"/>
        <v>1.8221074240734586E+112</v>
      </c>
      <c r="LMG53" s="760">
        <f t="shared" si="168"/>
        <v>1.8767706467956624E+112</v>
      </c>
      <c r="LMH53" s="760">
        <f t="shared" si="168"/>
        <v>1.9330737661995325E+112</v>
      </c>
      <c r="LMI53" s="760">
        <f t="shared" si="168"/>
        <v>1.9910659791855184E+112</v>
      </c>
      <c r="LMJ53" s="760">
        <f t="shared" si="168"/>
        <v>2.0507979585610841E+112</v>
      </c>
      <c r="LMK53" s="760">
        <f t="shared" si="168"/>
        <v>2.1123218973179166E+112</v>
      </c>
      <c r="LML53" s="760">
        <f t="shared" si="168"/>
        <v>2.1756915542374542E+112</v>
      </c>
      <c r="LMM53" s="760">
        <f t="shared" si="168"/>
        <v>2.2409623008645778E+112</v>
      </c>
      <c r="LMN53" s="760">
        <f t="shared" si="168"/>
        <v>2.3081911698905152E+112</v>
      </c>
      <c r="LMO53" s="760">
        <f t="shared" si="168"/>
        <v>2.3774369049872306E+112</v>
      </c>
      <c r="LMP53" s="760">
        <f t="shared" si="168"/>
        <v>2.4487600121368476E+112</v>
      </c>
      <c r="LMQ53" s="760">
        <f t="shared" si="168"/>
        <v>2.5222228125009531E+112</v>
      </c>
      <c r="LMR53" s="760">
        <f t="shared" si="168"/>
        <v>2.5978894968759819E+112</v>
      </c>
      <c r="LMS53" s="760">
        <f t="shared" si="168"/>
        <v>2.6758261817822616E+112</v>
      </c>
      <c r="LMT53" s="760">
        <f t="shared" si="168"/>
        <v>2.7561009672357295E+112</v>
      </c>
      <c r="LMU53" s="760">
        <f t="shared" si="168"/>
        <v>2.8387839962528013E+112</v>
      </c>
      <c r="LMV53" s="760">
        <f t="shared" si="168"/>
        <v>2.9239475161403856E+112</v>
      </c>
      <c r="LMW53" s="760">
        <f t="shared" si="168"/>
        <v>3.0116659416245974E+112</v>
      </c>
      <c r="LMX53" s="760">
        <f t="shared" si="168"/>
        <v>3.1020159198733356E+112</v>
      </c>
      <c r="LMY53" s="760">
        <f t="shared" si="168"/>
        <v>3.1950763974695359E+112</v>
      </c>
      <c r="LMZ53" s="760">
        <f t="shared" si="168"/>
        <v>3.290928689393622E+112</v>
      </c>
      <c r="LNA53" s="760">
        <f t="shared" si="168"/>
        <v>3.3896565500754308E+112</v>
      </c>
      <c r="LNB53" s="760">
        <f t="shared" si="168"/>
        <v>3.4913462465776937E+112</v>
      </c>
      <c r="LNC53" s="760">
        <f t="shared" si="168"/>
        <v>3.5960866339750244E+112</v>
      </c>
      <c r="LND53" s="760">
        <f t="shared" si="168"/>
        <v>3.7039692329942752E+112</v>
      </c>
      <c r="LNE53" s="760">
        <f t="shared" si="168"/>
        <v>3.8150883099841037E+112</v>
      </c>
      <c r="LNF53" s="760">
        <f t="shared" si="168"/>
        <v>3.9295409592836272E+112</v>
      </c>
      <c r="LNG53" s="760">
        <f t="shared" si="168"/>
        <v>4.0474271880621361E+112</v>
      </c>
      <c r="LNH53" s="760">
        <f t="shared" si="168"/>
        <v>4.168850003704E+112</v>
      </c>
      <c r="LNI53" s="760">
        <f t="shared" si="168"/>
        <v>4.2939155038151197E+112</v>
      </c>
      <c r="LNJ53" s="760">
        <f t="shared" si="168"/>
        <v>4.4227329689295732E+112</v>
      </c>
      <c r="LNK53" s="760">
        <f t="shared" si="168"/>
        <v>4.5554149579974604E+112</v>
      </c>
      <c r="LNL53" s="760">
        <f t="shared" si="168"/>
        <v>4.6920774067373842E+112</v>
      </c>
      <c r="LNM53" s="760">
        <f t="shared" si="168"/>
        <v>4.8328397289395055E+112</v>
      </c>
      <c r="LNN53" s="760">
        <f t="shared" si="168"/>
        <v>4.9778249208076911E+112</v>
      </c>
      <c r="LNO53" s="760">
        <f t="shared" si="168"/>
        <v>5.1271596684319218E+112</v>
      </c>
      <c r="LNP53" s="760">
        <f t="shared" si="168"/>
        <v>5.2809744584848793E+112</v>
      </c>
      <c r="LNQ53" s="760">
        <f t="shared" si="168"/>
        <v>5.439403692239426E+112</v>
      </c>
      <c r="LNR53" s="760">
        <f t="shared" si="168"/>
        <v>5.602585803006609E+112</v>
      </c>
      <c r="LNS53" s="760">
        <f t="shared" si="168"/>
        <v>5.7706633770968074E+112</v>
      </c>
      <c r="LNT53" s="760">
        <f t="shared" si="168"/>
        <v>5.9437832784097119E+112</v>
      </c>
      <c r="LNU53" s="760">
        <f t="shared" si="168"/>
        <v>6.1220967767620032E+112</v>
      </c>
      <c r="LNV53" s="760">
        <f t="shared" si="168"/>
        <v>6.3057596800648633E+112</v>
      </c>
      <c r="LNW53" s="760">
        <f t="shared" si="168"/>
        <v>6.4949324704668098E+112</v>
      </c>
      <c r="LNX53" s="760">
        <f t="shared" si="168"/>
        <v>6.6897804445808142E+112</v>
      </c>
      <c r="LNY53" s="760">
        <f t="shared" si="168"/>
        <v>6.8904738579182386E+112</v>
      </c>
      <c r="LNZ53" s="760">
        <f t="shared" si="168"/>
        <v>7.0971880736557857E+112</v>
      </c>
      <c r="LOA53" s="760">
        <f t="shared" si="168"/>
        <v>7.3101037158654591E+112</v>
      </c>
      <c r="LOB53" s="760">
        <f t="shared" si="168"/>
        <v>7.5294068273414231E+112</v>
      </c>
      <c r="LOC53" s="760">
        <f t="shared" si="168"/>
        <v>7.7552890321616661E+112</v>
      </c>
      <c r="LOD53" s="760">
        <f t="shared" si="168"/>
        <v>7.9879477031265156E+112</v>
      </c>
      <c r="LOE53" s="760">
        <f t="shared" si="168"/>
        <v>8.2275861342203115E+112</v>
      </c>
      <c r="LOF53" s="760">
        <f t="shared" si="168"/>
        <v>8.4744137182469203E+112</v>
      </c>
      <c r="LOG53" s="760">
        <f t="shared" si="168"/>
        <v>8.7286461297943275E+112</v>
      </c>
      <c r="LOH53" s="760">
        <f t="shared" si="168"/>
        <v>8.9905055136881568E+112</v>
      </c>
      <c r="LOI53" s="760">
        <f t="shared" si="168"/>
        <v>9.2602206790988019E+112</v>
      </c>
      <c r="LOJ53" s="760">
        <f t="shared" si="168"/>
        <v>9.5380272994717655E+112</v>
      </c>
      <c r="LOK53" s="760">
        <f t="shared" si="168"/>
        <v>9.8241681184559182E+112</v>
      </c>
      <c r="LOL53" s="760">
        <f t="shared" si="168"/>
        <v>1.0118893162009596E+113</v>
      </c>
      <c r="LOM53" s="760">
        <f t="shared" si="168"/>
        <v>1.0422459956869885E+113</v>
      </c>
      <c r="LON53" s="760">
        <f t="shared" si="168"/>
        <v>1.0735133755575981E+113</v>
      </c>
      <c r="LOO53" s="760">
        <f t="shared" si="168"/>
        <v>1.1057187768243261E+113</v>
      </c>
      <c r="LOP53" s="760">
        <f t="shared" si="168"/>
        <v>1.1388903401290558E+113</v>
      </c>
      <c r="LOQ53" s="760">
        <f t="shared" ref="LOQ53:LRB53" si="169">+LOP53*$C$53</f>
        <v>1.1730570503329276E+113</v>
      </c>
      <c r="LOR53" s="760">
        <f t="shared" si="169"/>
        <v>1.2082487618429154E+113</v>
      </c>
      <c r="LOS53" s="760">
        <f t="shared" si="169"/>
        <v>1.2444962246982029E+113</v>
      </c>
      <c r="LOT53" s="760">
        <f t="shared" si="169"/>
        <v>1.281831111439149E+113</v>
      </c>
      <c r="LOU53" s="760">
        <f t="shared" si="169"/>
        <v>1.3202860447823235E+113</v>
      </c>
      <c r="LOV53" s="760">
        <f t="shared" si="169"/>
        <v>1.3598946261257932E+113</v>
      </c>
      <c r="LOW53" s="760">
        <f t="shared" si="169"/>
        <v>1.400691464909567E+113</v>
      </c>
      <c r="LOX53" s="760">
        <f t="shared" si="169"/>
        <v>1.442712208856854E+113</v>
      </c>
      <c r="LOY53" s="760">
        <f t="shared" si="169"/>
        <v>1.4859935751225596E+113</v>
      </c>
      <c r="LOZ53" s="760">
        <f t="shared" si="169"/>
        <v>1.5305733823762364E+113</v>
      </c>
      <c r="LPA53" s="760">
        <f t="shared" si="169"/>
        <v>1.5764905838475236E+113</v>
      </c>
      <c r="LPB53" s="760">
        <f t="shared" si="169"/>
        <v>1.6237853013629494E+113</v>
      </c>
      <c r="LPC53" s="760">
        <f t="shared" si="169"/>
        <v>1.672498860403838E+113</v>
      </c>
      <c r="LPD53" s="760">
        <f t="shared" si="169"/>
        <v>1.7226738262159531E+113</v>
      </c>
      <c r="LPE53" s="760">
        <f t="shared" si="169"/>
        <v>1.7743540410024316E+113</v>
      </c>
      <c r="LPF53" s="760">
        <f t="shared" si="169"/>
        <v>1.8275846622325046E+113</v>
      </c>
      <c r="LPG53" s="760">
        <f t="shared" si="169"/>
        <v>1.8824122020994798E+113</v>
      </c>
      <c r="LPH53" s="760">
        <f t="shared" si="169"/>
        <v>1.9388845681624643E+113</v>
      </c>
      <c r="LPI53" s="760">
        <f t="shared" si="169"/>
        <v>1.9970511052073382E+113</v>
      </c>
      <c r="LPJ53" s="760">
        <f t="shared" si="169"/>
        <v>2.0569626383635583E+113</v>
      </c>
      <c r="LPK53" s="760">
        <f t="shared" si="169"/>
        <v>2.1186715175144651E+113</v>
      </c>
      <c r="LPL53" s="760">
        <f t="shared" si="169"/>
        <v>2.182231663039899E+113</v>
      </c>
      <c r="LPM53" s="760">
        <f t="shared" si="169"/>
        <v>2.2476986129310962E+113</v>
      </c>
      <c r="LPN53" s="760">
        <f t="shared" si="169"/>
        <v>2.3151295713190291E+113</v>
      </c>
      <c r="LPO53" s="760">
        <f t="shared" si="169"/>
        <v>2.3845834584586002E+113</v>
      </c>
      <c r="LPP53" s="760">
        <f t="shared" si="169"/>
        <v>2.4561209622123583E+113</v>
      </c>
      <c r="LPQ53" s="760">
        <f t="shared" si="169"/>
        <v>2.529804591078729E+113</v>
      </c>
      <c r="LPR53" s="760">
        <f t="shared" si="169"/>
        <v>2.6056987288110909E+113</v>
      </c>
      <c r="LPS53" s="760">
        <f t="shared" si="169"/>
        <v>2.6838696906754236E+113</v>
      </c>
      <c r="LPT53" s="760">
        <f t="shared" si="169"/>
        <v>2.7643857813956863E+113</v>
      </c>
      <c r="LPU53" s="760">
        <f t="shared" si="169"/>
        <v>2.847317354837557E+113</v>
      </c>
      <c r="LPV53" s="760">
        <f t="shared" si="169"/>
        <v>2.9327368754826837E+113</v>
      </c>
      <c r="LPW53" s="760">
        <f t="shared" si="169"/>
        <v>3.0207189817471644E+113</v>
      </c>
      <c r="LPX53" s="760">
        <f t="shared" si="169"/>
        <v>3.1113405511995792E+113</v>
      </c>
      <c r="LPY53" s="760">
        <f t="shared" si="169"/>
        <v>3.2046807677355663E+113</v>
      </c>
      <c r="LPZ53" s="760">
        <f t="shared" si="169"/>
        <v>3.3008211907676335E+113</v>
      </c>
      <c r="LQA53" s="760">
        <f t="shared" si="169"/>
        <v>3.399845826490663E+113</v>
      </c>
      <c r="LQB53" s="760">
        <f t="shared" si="169"/>
        <v>3.501841201285383E+113</v>
      </c>
      <c r="LQC53" s="760">
        <f t="shared" si="169"/>
        <v>3.6068964373239448E+113</v>
      </c>
      <c r="LQD53" s="760">
        <f t="shared" si="169"/>
        <v>3.7151033304436635E+113</v>
      </c>
      <c r="LQE53" s="760">
        <f t="shared" si="169"/>
        <v>3.8265564303569733E+113</v>
      </c>
      <c r="LQF53" s="760">
        <f t="shared" si="169"/>
        <v>3.9413531232676823E+113</v>
      </c>
      <c r="LQG53" s="760">
        <f t="shared" si="169"/>
        <v>4.0595937169657132E+113</v>
      </c>
      <c r="LQH53" s="760">
        <f t="shared" si="169"/>
        <v>4.1813815284746844E+113</v>
      </c>
      <c r="LQI53" s="760">
        <f t="shared" si="169"/>
        <v>4.3068229743289253E+113</v>
      </c>
      <c r="LQJ53" s="760">
        <f t="shared" si="169"/>
        <v>4.4360276635587931E+113</v>
      </c>
      <c r="LQK53" s="760">
        <f t="shared" si="169"/>
        <v>4.5691084934655572E+113</v>
      </c>
      <c r="LQL53" s="760">
        <f t="shared" si="169"/>
        <v>4.7061817482695237E+113</v>
      </c>
      <c r="LQM53" s="760">
        <f t="shared" si="169"/>
        <v>4.8473672007176096E+113</v>
      </c>
      <c r="LQN53" s="760">
        <f t="shared" si="169"/>
        <v>4.9927882167391381E+113</v>
      </c>
      <c r="LQO53" s="760">
        <f t="shared" si="169"/>
        <v>5.1425718632413122E+113</v>
      </c>
      <c r="LQP53" s="760">
        <f t="shared" si="169"/>
        <v>5.2968490191385515E+113</v>
      </c>
      <c r="LQQ53" s="760">
        <f t="shared" si="169"/>
        <v>5.455754489712708E+113</v>
      </c>
      <c r="LQR53" s="760">
        <f t="shared" si="169"/>
        <v>5.6194271244040891E+113</v>
      </c>
      <c r="LQS53" s="760">
        <f t="shared" si="169"/>
        <v>5.7880099381362119E+113</v>
      </c>
      <c r="LQT53" s="760">
        <f t="shared" si="169"/>
        <v>5.9616502362802984E+113</v>
      </c>
      <c r="LQU53" s="760">
        <f t="shared" si="169"/>
        <v>6.1404997433687076E+113</v>
      </c>
      <c r="LQV53" s="760">
        <f t="shared" si="169"/>
        <v>6.3247147356697694E+113</v>
      </c>
      <c r="LQW53" s="760">
        <f t="shared" si="169"/>
        <v>6.5144561777398627E+113</v>
      </c>
      <c r="LQX53" s="760">
        <f t="shared" si="169"/>
        <v>6.7098898630720591E+113</v>
      </c>
      <c r="LQY53" s="760">
        <f t="shared" si="169"/>
        <v>6.9111865589642208E+113</v>
      </c>
      <c r="LQZ53" s="760">
        <f t="shared" si="169"/>
        <v>7.1185221557331471E+113</v>
      </c>
      <c r="LRA53" s="760">
        <f t="shared" si="169"/>
        <v>7.3320778204051417E+113</v>
      </c>
      <c r="LRB53" s="760">
        <f t="shared" si="169"/>
        <v>7.5520401550172956E+113</v>
      </c>
      <c r="LRC53" s="760">
        <f t="shared" ref="LRC53:LTN53" si="170">+LRB53*$C$53</f>
        <v>7.7786013596678153E+113</v>
      </c>
      <c r="LRD53" s="760">
        <f t="shared" si="170"/>
        <v>8.0119594004578494E+113</v>
      </c>
      <c r="LRE53" s="760">
        <f t="shared" si="170"/>
        <v>8.2523181824715845E+113</v>
      </c>
      <c r="LRF53" s="760">
        <f t="shared" si="170"/>
        <v>8.499887727945732E+113</v>
      </c>
      <c r="LRG53" s="760">
        <f t="shared" si="170"/>
        <v>8.7548843597841042E+113</v>
      </c>
      <c r="LRH53" s="760">
        <f t="shared" si="170"/>
        <v>9.0175308905776282E+113</v>
      </c>
      <c r="LRI53" s="760">
        <f t="shared" si="170"/>
        <v>9.2880568172949569E+113</v>
      </c>
      <c r="LRJ53" s="760">
        <f t="shared" si="170"/>
        <v>9.5666985218138055E+113</v>
      </c>
      <c r="LRK53" s="760">
        <f t="shared" si="170"/>
        <v>9.8536994774682202E+113</v>
      </c>
      <c r="LRL53" s="760">
        <f t="shared" si="170"/>
        <v>1.0149310461792267E+114</v>
      </c>
      <c r="LRM53" s="760">
        <f t="shared" si="170"/>
        <v>1.0453789775646036E+114</v>
      </c>
      <c r="LRN53" s="760">
        <f t="shared" si="170"/>
        <v>1.0767403468915418E+114</v>
      </c>
      <c r="LRO53" s="760">
        <f t="shared" si="170"/>
        <v>1.1090425572982881E+114</v>
      </c>
      <c r="LRP53" s="760">
        <f t="shared" si="170"/>
        <v>1.1423138340172368E+114</v>
      </c>
      <c r="LRQ53" s="760">
        <f t="shared" si="170"/>
        <v>1.1765832490377539E+114</v>
      </c>
      <c r="LRR53" s="760">
        <f t="shared" si="170"/>
        <v>1.2118807465088866E+114</v>
      </c>
      <c r="LRS53" s="760">
        <f t="shared" si="170"/>
        <v>1.2482371689041533E+114</v>
      </c>
      <c r="LRT53" s="760">
        <f t="shared" si="170"/>
        <v>1.285684283971278E+114</v>
      </c>
      <c r="LRU53" s="760">
        <f t="shared" si="170"/>
        <v>1.3242548124904162E+114</v>
      </c>
      <c r="LRV53" s="760">
        <f t="shared" si="170"/>
        <v>1.3639824568651287E+114</v>
      </c>
      <c r="LRW53" s="760">
        <f t="shared" si="170"/>
        <v>1.4049019305710825E+114</v>
      </c>
      <c r="LRX53" s="760">
        <f t="shared" si="170"/>
        <v>1.4470489884882151E+114</v>
      </c>
      <c r="LRY53" s="760">
        <f t="shared" si="170"/>
        <v>1.4904604581428616E+114</v>
      </c>
      <c r="LRZ53" s="760">
        <f t="shared" si="170"/>
        <v>1.5351742718871474E+114</v>
      </c>
      <c r="LSA53" s="760">
        <f t="shared" si="170"/>
        <v>1.5812295000437619E+114</v>
      </c>
      <c r="LSB53" s="760">
        <f t="shared" si="170"/>
        <v>1.6286663850450747E+114</v>
      </c>
      <c r="LSC53" s="760">
        <f t="shared" si="170"/>
        <v>1.6775263765964269E+114</v>
      </c>
      <c r="LSD53" s="760">
        <f t="shared" si="170"/>
        <v>1.7278521678943197E+114</v>
      </c>
      <c r="LSE53" s="760">
        <f t="shared" si="170"/>
        <v>1.7796877329311495E+114</v>
      </c>
      <c r="LSF53" s="760">
        <f t="shared" si="170"/>
        <v>1.833078364919084E+114</v>
      </c>
      <c r="LSG53" s="760">
        <f t="shared" si="170"/>
        <v>1.8880707158666565E+114</v>
      </c>
      <c r="LSH53" s="760">
        <f t="shared" si="170"/>
        <v>1.9447128373426562E+114</v>
      </c>
      <c r="LSI53" s="760">
        <f t="shared" si="170"/>
        <v>2.003054222462936E+114</v>
      </c>
      <c r="LSJ53" s="760">
        <f t="shared" si="170"/>
        <v>2.063145849136824E+114</v>
      </c>
      <c r="LSK53" s="760">
        <f t="shared" si="170"/>
        <v>2.1250402246109286E+114</v>
      </c>
      <c r="LSL53" s="760">
        <f t="shared" si="170"/>
        <v>2.1887914313492566E+114</v>
      </c>
      <c r="LSM53" s="760">
        <f t="shared" si="170"/>
        <v>2.2544551742897343E+114</v>
      </c>
      <c r="LSN53" s="760">
        <f t="shared" si="170"/>
        <v>2.3220888295184263E+114</v>
      </c>
      <c r="LSO53" s="760">
        <f t="shared" si="170"/>
        <v>2.3917514944039792E+114</v>
      </c>
      <c r="LSP53" s="760">
        <f t="shared" si="170"/>
        <v>2.4635040392360987E+114</v>
      </c>
      <c r="LSQ53" s="760">
        <f t="shared" si="170"/>
        <v>2.5374091604131816E+114</v>
      </c>
      <c r="LSR53" s="760">
        <f t="shared" si="170"/>
        <v>2.6135314352255772E+114</v>
      </c>
      <c r="LSS53" s="760">
        <f t="shared" si="170"/>
        <v>2.6919373782823447E+114</v>
      </c>
      <c r="LST53" s="760">
        <f t="shared" si="170"/>
        <v>2.7726954996308151E+114</v>
      </c>
      <c r="LSU53" s="760">
        <f t="shared" si="170"/>
        <v>2.8558763646197394E+114</v>
      </c>
      <c r="LSV53" s="760">
        <f t="shared" si="170"/>
        <v>2.9415526555583314E+114</v>
      </c>
      <c r="LSW53" s="760">
        <f t="shared" si="170"/>
        <v>3.0297992352250813E+114</v>
      </c>
      <c r="LSX53" s="760">
        <f t="shared" si="170"/>
        <v>3.120693212281834E+114</v>
      </c>
      <c r="LSY53" s="760">
        <f t="shared" si="170"/>
        <v>3.2143140086502889E+114</v>
      </c>
      <c r="LSZ53" s="760">
        <f t="shared" si="170"/>
        <v>3.3107434289097978E+114</v>
      </c>
      <c r="LTA53" s="760">
        <f t="shared" si="170"/>
        <v>3.4100657317770916E+114</v>
      </c>
      <c r="LTB53" s="760">
        <f t="shared" si="170"/>
        <v>3.5123677037304044E+114</v>
      </c>
      <c r="LTC53" s="760">
        <f t="shared" si="170"/>
        <v>3.6177387348423167E+114</v>
      </c>
      <c r="LTD53" s="760">
        <f t="shared" si="170"/>
        <v>3.7262708968875866E+114</v>
      </c>
      <c r="LTE53" s="760">
        <f t="shared" si="170"/>
        <v>3.8380590237942141E+114</v>
      </c>
      <c r="LTF53" s="760">
        <f t="shared" si="170"/>
        <v>3.9532007945080404E+114</v>
      </c>
      <c r="LTG53" s="760">
        <f t="shared" si="170"/>
        <v>4.0717968183432818E+114</v>
      </c>
      <c r="LTH53" s="760">
        <f t="shared" si="170"/>
        <v>4.1939507228935806E+114</v>
      </c>
      <c r="LTI53" s="760">
        <f t="shared" si="170"/>
        <v>4.3197692445803879E+114</v>
      </c>
      <c r="LTJ53" s="760">
        <f t="shared" si="170"/>
        <v>4.4493623219177999E+114</v>
      </c>
      <c r="LTK53" s="760">
        <f t="shared" si="170"/>
        <v>4.5828431915753341E+114</v>
      </c>
      <c r="LTL53" s="760">
        <f t="shared" si="170"/>
        <v>4.7203284873225944E+114</v>
      </c>
      <c r="LTM53" s="760">
        <f t="shared" si="170"/>
        <v>4.8619383419422725E+114</v>
      </c>
      <c r="LTN53" s="760">
        <f t="shared" si="170"/>
        <v>5.0077964922005409E+114</v>
      </c>
      <c r="LTO53" s="760">
        <f t="shared" ref="LTO53:LVZ53" si="171">+LTN53*$C$53</f>
        <v>5.1580303869665574E+114</v>
      </c>
      <c r="LTP53" s="760">
        <f t="shared" si="171"/>
        <v>5.3127712985755545E+114</v>
      </c>
      <c r="LTQ53" s="760">
        <f t="shared" si="171"/>
        <v>5.4721544375328209E+114</v>
      </c>
      <c r="LTR53" s="760">
        <f t="shared" si="171"/>
        <v>5.6363190706588058E+114</v>
      </c>
      <c r="LTS53" s="760">
        <f t="shared" si="171"/>
        <v>5.8054086427785697E+114</v>
      </c>
      <c r="LTT53" s="760">
        <f t="shared" si="171"/>
        <v>5.9795709020619266E+114</v>
      </c>
      <c r="LTU53" s="760">
        <f t="shared" si="171"/>
        <v>6.1589580291237845E+114</v>
      </c>
      <c r="LTV53" s="760">
        <f t="shared" si="171"/>
        <v>6.3437267699974978E+114</v>
      </c>
      <c r="LTW53" s="760">
        <f t="shared" si="171"/>
        <v>6.5340385730974224E+114</v>
      </c>
      <c r="LTX53" s="760">
        <f t="shared" si="171"/>
        <v>6.7300597302903449E+114</v>
      </c>
      <c r="LTY53" s="760">
        <f t="shared" si="171"/>
        <v>6.9319615221990554E+114</v>
      </c>
      <c r="LTZ53" s="760">
        <f t="shared" si="171"/>
        <v>7.1399203678650274E+114</v>
      </c>
      <c r="LUA53" s="760">
        <f t="shared" si="171"/>
        <v>7.3541179789009787E+114</v>
      </c>
      <c r="LUB53" s="760">
        <f t="shared" si="171"/>
        <v>7.5747415182680086E+114</v>
      </c>
      <c r="LUC53" s="760">
        <f t="shared" si="171"/>
        <v>7.8019837638160493E+114</v>
      </c>
      <c r="LUD53" s="760">
        <f t="shared" si="171"/>
        <v>8.0360432767305313E+114</v>
      </c>
      <c r="LUE53" s="760">
        <f t="shared" si="171"/>
        <v>8.2771245750324476E+114</v>
      </c>
      <c r="LUF53" s="760">
        <f t="shared" si="171"/>
        <v>8.5254383122834212E+114</v>
      </c>
      <c r="LUG53" s="760">
        <f t="shared" si="171"/>
        <v>8.7812014616519239E+114</v>
      </c>
      <c r="LUH53" s="760">
        <f t="shared" si="171"/>
        <v>9.0446375055014814E+114</v>
      </c>
      <c r="LUI53" s="760">
        <f t="shared" si="171"/>
        <v>9.3159766306665258E+114</v>
      </c>
      <c r="LUJ53" s="760">
        <f t="shared" si="171"/>
        <v>9.5954559295865214E+114</v>
      </c>
      <c r="LUK53" s="760">
        <f t="shared" si="171"/>
        <v>9.8833196074741179E+114</v>
      </c>
      <c r="LUL53" s="760">
        <f t="shared" si="171"/>
        <v>1.0179819195698342E+115</v>
      </c>
      <c r="LUM53" s="760">
        <f t="shared" si="171"/>
        <v>1.0485213771569293E+115</v>
      </c>
      <c r="LUN53" s="760">
        <f t="shared" si="171"/>
        <v>1.0799770184716373E+115</v>
      </c>
      <c r="LUO53" s="760">
        <f t="shared" si="171"/>
        <v>1.1123763290257865E+115</v>
      </c>
      <c r="LUP53" s="760">
        <f t="shared" si="171"/>
        <v>1.1457476188965602E+115</v>
      </c>
      <c r="LUQ53" s="760">
        <f t="shared" si="171"/>
        <v>1.180120047463457E+115</v>
      </c>
      <c r="LUR53" s="760">
        <f t="shared" si="171"/>
        <v>1.2155236488873608E+115</v>
      </c>
      <c r="LUS53" s="760">
        <f t="shared" si="171"/>
        <v>1.2519893583539816E+115</v>
      </c>
      <c r="LUT53" s="760">
        <f t="shared" si="171"/>
        <v>1.2895490391046012E+115</v>
      </c>
      <c r="LUU53" s="760">
        <f t="shared" si="171"/>
        <v>1.3282355102777392E+115</v>
      </c>
      <c r="LUV53" s="760">
        <f t="shared" si="171"/>
        <v>1.3680825755860714E+115</v>
      </c>
      <c r="LUW53" s="760">
        <f t="shared" si="171"/>
        <v>1.4091250528536535E+115</v>
      </c>
      <c r="LUX53" s="760">
        <f t="shared" si="171"/>
        <v>1.4513988044392632E+115</v>
      </c>
      <c r="LUY53" s="760">
        <f t="shared" si="171"/>
        <v>1.4949407685724412E+115</v>
      </c>
      <c r="LUZ53" s="760">
        <f t="shared" si="171"/>
        <v>1.5397889916296144E+115</v>
      </c>
      <c r="LVA53" s="760">
        <f t="shared" si="171"/>
        <v>1.5859826613785029E+115</v>
      </c>
      <c r="LVB53" s="760">
        <f t="shared" si="171"/>
        <v>1.633562141219858E+115</v>
      </c>
      <c r="LVC53" s="760">
        <f t="shared" si="171"/>
        <v>1.6825690054564538E+115</v>
      </c>
      <c r="LVD53" s="760">
        <f t="shared" si="171"/>
        <v>1.7330460756201474E+115</v>
      </c>
      <c r="LVE53" s="760">
        <f t="shared" si="171"/>
        <v>1.7850374578887518E+115</v>
      </c>
      <c r="LVF53" s="760">
        <f t="shared" si="171"/>
        <v>1.8385885816254144E+115</v>
      </c>
      <c r="LVG53" s="760">
        <f t="shared" si="171"/>
        <v>1.8937462390741768E+115</v>
      </c>
      <c r="LVH53" s="760">
        <f t="shared" si="171"/>
        <v>1.9505586262464022E+115</v>
      </c>
      <c r="LVI53" s="760">
        <f t="shared" si="171"/>
        <v>2.0090753850337941E+115</v>
      </c>
      <c r="LVJ53" s="760">
        <f t="shared" si="171"/>
        <v>2.0693476465848082E+115</v>
      </c>
      <c r="LVK53" s="760">
        <f t="shared" si="171"/>
        <v>2.1314280759823524E+115</v>
      </c>
      <c r="LVL53" s="760">
        <f t="shared" si="171"/>
        <v>2.1953709182618229E+115</v>
      </c>
      <c r="LVM53" s="760">
        <f t="shared" si="171"/>
        <v>2.2612320458096775E+115</v>
      </c>
      <c r="LVN53" s="760">
        <f t="shared" si="171"/>
        <v>2.3290690071839678E+115</v>
      </c>
      <c r="LVO53" s="760">
        <f t="shared" si="171"/>
        <v>2.3989410773994868E+115</v>
      </c>
      <c r="LVP53" s="760">
        <f t="shared" si="171"/>
        <v>2.4709093097214715E+115</v>
      </c>
      <c r="LVQ53" s="760">
        <f t="shared" si="171"/>
        <v>2.5450365890131157E+115</v>
      </c>
      <c r="LVR53" s="760">
        <f t="shared" si="171"/>
        <v>2.6213876866835094E+115</v>
      </c>
      <c r="LVS53" s="760">
        <f t="shared" si="171"/>
        <v>2.7000293172840148E+115</v>
      </c>
      <c r="LVT53" s="760">
        <f t="shared" si="171"/>
        <v>2.7810301968025352E+115</v>
      </c>
      <c r="LVU53" s="760">
        <f t="shared" si="171"/>
        <v>2.8644611027066114E+115</v>
      </c>
      <c r="LVV53" s="760">
        <f t="shared" si="171"/>
        <v>2.9503949357878099E+115</v>
      </c>
      <c r="LVW53" s="760">
        <f t="shared" si="171"/>
        <v>3.0389067838614443E+115</v>
      </c>
      <c r="LVX53" s="760">
        <f t="shared" si="171"/>
        <v>3.1300739873772876E+115</v>
      </c>
      <c r="LVY53" s="760">
        <f t="shared" si="171"/>
        <v>3.2239762069986065E+115</v>
      </c>
      <c r="LVZ53" s="760">
        <f t="shared" si="171"/>
        <v>3.3206954932085648E+115</v>
      </c>
      <c r="LWA53" s="760">
        <f t="shared" ref="LWA53:LYL53" si="172">+LVZ53*$C$53</f>
        <v>3.4203163580048218E+115</v>
      </c>
      <c r="LWB53" s="760">
        <f t="shared" si="172"/>
        <v>3.5229258487449667E+115</v>
      </c>
      <c r="LWC53" s="760">
        <f t="shared" si="172"/>
        <v>3.6286136242073156E+115</v>
      </c>
      <c r="LWD53" s="760">
        <f t="shared" si="172"/>
        <v>3.7374720329335354E+115</v>
      </c>
      <c r="LWE53" s="760">
        <f t="shared" si="172"/>
        <v>3.8495961939215415E+115</v>
      </c>
      <c r="LWF53" s="760">
        <f t="shared" si="172"/>
        <v>3.9650840797391876E+115</v>
      </c>
      <c r="LWG53" s="760">
        <f t="shared" si="172"/>
        <v>4.084036602131363E+115</v>
      </c>
      <c r="LWH53" s="760">
        <f t="shared" si="172"/>
        <v>4.2065577001953043E+115</v>
      </c>
      <c r="LWI53" s="760">
        <f t="shared" si="172"/>
        <v>4.3327544312011635E+115</v>
      </c>
      <c r="LWJ53" s="760">
        <f t="shared" si="172"/>
        <v>4.4627370641371983E+115</v>
      </c>
      <c r="LWK53" s="760">
        <f t="shared" si="172"/>
        <v>4.5966191760613144E+115</v>
      </c>
      <c r="LWL53" s="760">
        <f t="shared" si="172"/>
        <v>4.7345177513431538E+115</v>
      </c>
      <c r="LWM53" s="760">
        <f t="shared" si="172"/>
        <v>4.8765532838834484E+115</v>
      </c>
      <c r="LWN53" s="760">
        <f t="shared" si="172"/>
        <v>5.0228498823999522E+115</v>
      </c>
      <c r="LWO53" s="760">
        <f t="shared" si="172"/>
        <v>5.1735353788719506E+115</v>
      </c>
      <c r="LWP53" s="760">
        <f t="shared" si="172"/>
        <v>5.328741440238109E+115</v>
      </c>
      <c r="LWQ53" s="760">
        <f t="shared" si="172"/>
        <v>5.488603683445252E+115</v>
      </c>
      <c r="LWR53" s="760">
        <f t="shared" si="172"/>
        <v>5.6532617939486094E+115</v>
      </c>
      <c r="LWS53" s="760">
        <f t="shared" si="172"/>
        <v>5.8228596477670674E+115</v>
      </c>
      <c r="LWT53" s="760">
        <f t="shared" si="172"/>
        <v>5.9975454372000793E+115</v>
      </c>
      <c r="LWU53" s="760">
        <f t="shared" si="172"/>
        <v>6.1774718003160818E+115</v>
      </c>
      <c r="LWV53" s="760">
        <f t="shared" si="172"/>
        <v>6.3627959543255643E+115</v>
      </c>
      <c r="LWW53" s="760">
        <f t="shared" si="172"/>
        <v>6.5536798329553315E+115</v>
      </c>
      <c r="LWX53" s="760">
        <f t="shared" si="172"/>
        <v>6.7502902279439913E+115</v>
      </c>
      <c r="LWY53" s="760">
        <f t="shared" si="172"/>
        <v>6.952798934782311E+115</v>
      </c>
      <c r="LWZ53" s="760">
        <f t="shared" si="172"/>
        <v>7.1613829028257808E+115</v>
      </c>
      <c r="LXA53" s="760">
        <f t="shared" si="172"/>
        <v>7.3762243899105545E+115</v>
      </c>
      <c r="LXB53" s="760">
        <f t="shared" si="172"/>
        <v>7.5975111216078714E+115</v>
      </c>
      <c r="LXC53" s="760">
        <f t="shared" si="172"/>
        <v>7.825436455256108E+115</v>
      </c>
      <c r="LXD53" s="760">
        <f t="shared" si="172"/>
        <v>8.0601995489137914E+115</v>
      </c>
      <c r="LXE53" s="760">
        <f t="shared" si="172"/>
        <v>8.3020055353812049E+115</v>
      </c>
      <c r="LXF53" s="760">
        <f t="shared" si="172"/>
        <v>8.5510657014426418E+115</v>
      </c>
      <c r="LXG53" s="760">
        <f t="shared" si="172"/>
        <v>8.8075976724859212E+115</v>
      </c>
      <c r="LXH53" s="760">
        <f t="shared" si="172"/>
        <v>9.0718256026604992E+115</v>
      </c>
      <c r="LXI53" s="760">
        <f t="shared" si="172"/>
        <v>9.3439803707403139E+115</v>
      </c>
      <c r="LXJ53" s="760">
        <f t="shared" si="172"/>
        <v>9.6242997818625236E+115</v>
      </c>
      <c r="LXK53" s="760">
        <f t="shared" si="172"/>
        <v>9.9130287753183989E+115</v>
      </c>
      <c r="LXL53" s="760">
        <f t="shared" si="172"/>
        <v>1.0210419638577952E+116</v>
      </c>
      <c r="LXM53" s="760">
        <f t="shared" si="172"/>
        <v>1.0516732227735291E+116</v>
      </c>
      <c r="LXN53" s="760">
        <f t="shared" si="172"/>
        <v>1.083223419456735E+116</v>
      </c>
      <c r="LXO53" s="760">
        <f t="shared" si="172"/>
        <v>1.115720122040437E+116</v>
      </c>
      <c r="LXP53" s="760">
        <f t="shared" si="172"/>
        <v>1.1491917257016501E+116</v>
      </c>
      <c r="LXQ53" s="760">
        <f t="shared" si="172"/>
        <v>1.1836674774726997E+116</v>
      </c>
      <c r="LXR53" s="760">
        <f t="shared" si="172"/>
        <v>1.2191775017968807E+116</v>
      </c>
      <c r="LXS53" s="760">
        <f t="shared" si="172"/>
        <v>1.2557528268507872E+116</v>
      </c>
      <c r="LXT53" s="760">
        <f t="shared" si="172"/>
        <v>1.2934254116563109E+116</v>
      </c>
      <c r="LXU53" s="760">
        <f t="shared" si="172"/>
        <v>1.3322281740060003E+116</v>
      </c>
      <c r="LXV53" s="760">
        <f t="shared" si="172"/>
        <v>1.3721950192261803E+116</v>
      </c>
      <c r="LXW53" s="760">
        <f t="shared" si="172"/>
        <v>1.4133608698029658E+116</v>
      </c>
      <c r="LXX53" s="760">
        <f t="shared" si="172"/>
        <v>1.4557616958970548E+116</v>
      </c>
      <c r="LXY53" s="760">
        <f t="shared" si="172"/>
        <v>1.4994345467739666E+116</v>
      </c>
      <c r="LXZ53" s="760">
        <f t="shared" si="172"/>
        <v>1.5444175831771857E+116</v>
      </c>
      <c r="LYA53" s="760">
        <f t="shared" si="172"/>
        <v>1.5907501106725012E+116</v>
      </c>
      <c r="LYB53" s="760">
        <f t="shared" si="172"/>
        <v>1.6384726139926765E+116</v>
      </c>
      <c r="LYC53" s="760">
        <f t="shared" si="172"/>
        <v>1.687626792412457E+116</v>
      </c>
      <c r="LYD53" s="760">
        <f t="shared" si="172"/>
        <v>1.7382555961848306E+116</v>
      </c>
      <c r="LYE53" s="760">
        <f t="shared" si="172"/>
        <v>1.7904032640703757E+116</v>
      </c>
      <c r="LYF53" s="760">
        <f t="shared" si="172"/>
        <v>1.8441153619924869E+116</v>
      </c>
      <c r="LYG53" s="760">
        <f t="shared" si="172"/>
        <v>1.8994388228522615E+116</v>
      </c>
      <c r="LYH53" s="760">
        <f t="shared" si="172"/>
        <v>1.9564219875378295E+116</v>
      </c>
      <c r="LYI53" s="760">
        <f t="shared" si="172"/>
        <v>2.0151146471639643E+116</v>
      </c>
      <c r="LYJ53" s="760">
        <f t="shared" si="172"/>
        <v>2.0755680865788832E+116</v>
      </c>
      <c r="LYK53" s="760">
        <f t="shared" si="172"/>
        <v>2.1378351291762499E+116</v>
      </c>
      <c r="LYL53" s="760">
        <f t="shared" si="172"/>
        <v>2.2019701830515375E+116</v>
      </c>
      <c r="LYM53" s="760">
        <f t="shared" ref="LYM53:MAX53" si="173">+LYL53*$C$53</f>
        <v>2.2680292885430836E+116</v>
      </c>
      <c r="LYN53" s="760">
        <f t="shared" si="173"/>
        <v>2.3360701671993761E+116</v>
      </c>
      <c r="LYO53" s="760">
        <f t="shared" si="173"/>
        <v>2.4061522722153573E+116</v>
      </c>
      <c r="LYP53" s="760">
        <f t="shared" si="173"/>
        <v>2.4783368403818179E+116</v>
      </c>
      <c r="LYQ53" s="760">
        <f t="shared" si="173"/>
        <v>2.5526869455932725E+116</v>
      </c>
      <c r="LYR53" s="760">
        <f t="shared" si="173"/>
        <v>2.6292675539610707E+116</v>
      </c>
      <c r="LYS53" s="760">
        <f t="shared" si="173"/>
        <v>2.7081455805799029E+116</v>
      </c>
      <c r="LYT53" s="760">
        <f t="shared" si="173"/>
        <v>2.7893899479973002E+116</v>
      </c>
      <c r="LYU53" s="760">
        <f t="shared" si="173"/>
        <v>2.8730716464372193E+116</v>
      </c>
      <c r="LYV53" s="760">
        <f t="shared" si="173"/>
        <v>2.9592637958303359E+116</v>
      </c>
      <c r="LYW53" s="760">
        <f t="shared" si="173"/>
        <v>3.048041709705246E+116</v>
      </c>
      <c r="LYX53" s="760">
        <f t="shared" si="173"/>
        <v>3.1394829609964036E+116</v>
      </c>
      <c r="LYY53" s="760">
        <f t="shared" si="173"/>
        <v>3.2336674498262959E+116</v>
      </c>
      <c r="LYZ53" s="760">
        <f t="shared" si="173"/>
        <v>3.3306774733210847E+116</v>
      </c>
      <c r="LZA53" s="760">
        <f t="shared" si="173"/>
        <v>3.4305977975207176E+116</v>
      </c>
      <c r="LZB53" s="760">
        <f t="shared" si="173"/>
        <v>3.5335157314463394E+116</v>
      </c>
      <c r="LZC53" s="760">
        <f t="shared" si="173"/>
        <v>3.63952120338973E+116</v>
      </c>
      <c r="LZD53" s="760">
        <f t="shared" si="173"/>
        <v>3.748706839491422E+116</v>
      </c>
      <c r="LZE53" s="760">
        <f t="shared" si="173"/>
        <v>3.8611680446761646E+116</v>
      </c>
      <c r="LZF53" s="760">
        <f t="shared" si="173"/>
        <v>3.97700308601645E+116</v>
      </c>
      <c r="LZG53" s="760">
        <f t="shared" si="173"/>
        <v>4.0963131785969433E+116</v>
      </c>
      <c r="LZH53" s="760">
        <f t="shared" si="173"/>
        <v>4.2192025739548519E+116</v>
      </c>
      <c r="LZI53" s="760">
        <f t="shared" si="173"/>
        <v>4.3457786511734979E+116</v>
      </c>
      <c r="LZJ53" s="760">
        <f t="shared" si="173"/>
        <v>4.4761520107087031E+116</v>
      </c>
      <c r="LZK53" s="760">
        <f t="shared" si="173"/>
        <v>4.6104365710299643E+116</v>
      </c>
      <c r="LZL53" s="760">
        <f t="shared" si="173"/>
        <v>4.7487496681608635E+116</v>
      </c>
      <c r="LZM53" s="760">
        <f t="shared" si="173"/>
        <v>4.8912121582056896E+116</v>
      </c>
      <c r="LZN53" s="760">
        <f t="shared" si="173"/>
        <v>5.0379485229518606E+116</v>
      </c>
      <c r="LZO53" s="760">
        <f t="shared" si="173"/>
        <v>5.1890869786404167E+116</v>
      </c>
      <c r="LZP53" s="760">
        <f t="shared" si="173"/>
        <v>5.3447595879996294E+116</v>
      </c>
      <c r="LZQ53" s="760">
        <f t="shared" si="173"/>
        <v>5.5051023756396187E+116</v>
      </c>
      <c r="LZR53" s="760">
        <f t="shared" si="173"/>
        <v>5.6702554469088074E+116</v>
      </c>
      <c r="LZS53" s="760">
        <f t="shared" si="173"/>
        <v>5.8403631103160721E+116</v>
      </c>
      <c r="LZT53" s="760">
        <f t="shared" si="173"/>
        <v>6.0155740036255546E+116</v>
      </c>
      <c r="LZU53" s="760">
        <f t="shared" si="173"/>
        <v>6.1960412237343211E+116</v>
      </c>
      <c r="LZV53" s="760">
        <f t="shared" si="173"/>
        <v>6.3819224604463513E+116</v>
      </c>
      <c r="LZW53" s="760">
        <f t="shared" si="173"/>
        <v>6.5733801342597425E+116</v>
      </c>
      <c r="LZX53" s="760">
        <f t="shared" si="173"/>
        <v>6.7705815382875346E+116</v>
      </c>
      <c r="LZY53" s="760">
        <f t="shared" si="173"/>
        <v>6.9736989844361606E+116</v>
      </c>
      <c r="LZZ53" s="760">
        <f t="shared" si="173"/>
        <v>7.1829099539692453E+116</v>
      </c>
      <c r="MAA53" s="760">
        <f t="shared" si="173"/>
        <v>7.3983972525883236E+116</v>
      </c>
      <c r="MAB53" s="760">
        <f t="shared" si="173"/>
        <v>7.620349170165973E+116</v>
      </c>
      <c r="MAC53" s="760">
        <f t="shared" si="173"/>
        <v>7.8489596452709521E+116</v>
      </c>
      <c r="MAD53" s="760">
        <f t="shared" si="173"/>
        <v>8.084428434629081E+116</v>
      </c>
      <c r="MAE53" s="760">
        <f t="shared" si="173"/>
        <v>8.3269612876679539E+116</v>
      </c>
      <c r="MAF53" s="760">
        <f t="shared" si="173"/>
        <v>8.5767701262979931E+116</v>
      </c>
      <c r="MAG53" s="760">
        <f t="shared" si="173"/>
        <v>8.8340732300869336E+116</v>
      </c>
      <c r="MAH53" s="760">
        <f t="shared" si="173"/>
        <v>9.0990954269895418E+116</v>
      </c>
      <c r="MAI53" s="760">
        <f t="shared" si="173"/>
        <v>9.3720682897992281E+116</v>
      </c>
      <c r="MAJ53" s="760">
        <f t="shared" si="173"/>
        <v>9.6532303384932051E+116</v>
      </c>
      <c r="MAK53" s="760">
        <f t="shared" si="173"/>
        <v>9.9428272486480018E+116</v>
      </c>
      <c r="MAL53" s="760">
        <f t="shared" si="173"/>
        <v>1.0241112066107442E+117</v>
      </c>
      <c r="MAM53" s="760">
        <f t="shared" si="173"/>
        <v>1.0548345428090666E+117</v>
      </c>
      <c r="MAN53" s="760">
        <f t="shared" si="173"/>
        <v>1.0864795790933386E+117</v>
      </c>
      <c r="MAO53" s="760">
        <f t="shared" si="173"/>
        <v>1.1190739664661387E+117</v>
      </c>
      <c r="MAP53" s="760">
        <f t="shared" si="173"/>
        <v>1.1526461854601229E+117</v>
      </c>
      <c r="MAQ53" s="760">
        <f t="shared" si="173"/>
        <v>1.1872255710239267E+117</v>
      </c>
      <c r="MAR53" s="760">
        <f t="shared" si="173"/>
        <v>1.2228423381546445E+117</v>
      </c>
      <c r="MAS53" s="760">
        <f t="shared" si="173"/>
        <v>1.2595276082992839E+117</v>
      </c>
      <c r="MAT53" s="760">
        <f t="shared" si="173"/>
        <v>1.2973134365482625E+117</v>
      </c>
      <c r="MAU53" s="760">
        <f t="shared" si="173"/>
        <v>1.3362328396447105E+117</v>
      </c>
      <c r="MAV53" s="760">
        <f t="shared" si="173"/>
        <v>1.3763198248340517E+117</v>
      </c>
      <c r="MAW53" s="760">
        <f t="shared" si="173"/>
        <v>1.4176094195790733E+117</v>
      </c>
      <c r="MAX53" s="760">
        <f t="shared" si="173"/>
        <v>1.4601377021664455E+117</v>
      </c>
      <c r="MAY53" s="760">
        <f t="shared" ref="MAY53:MDJ53" si="174">+MAX53*$C$53</f>
        <v>1.5039418332314388E+117</v>
      </c>
      <c r="MAZ53" s="760">
        <f t="shared" si="174"/>
        <v>1.5490600882283819E+117</v>
      </c>
      <c r="MBA53" s="760">
        <f t="shared" si="174"/>
        <v>1.5955318908752333E+117</v>
      </c>
      <c r="MBB53" s="760">
        <f t="shared" si="174"/>
        <v>1.6433978476014903E+117</v>
      </c>
      <c r="MBC53" s="760">
        <f t="shared" si="174"/>
        <v>1.6926997830295352E+117</v>
      </c>
      <c r="MBD53" s="760">
        <f t="shared" si="174"/>
        <v>1.7434807765204213E+117</v>
      </c>
      <c r="MBE53" s="760">
        <f t="shared" si="174"/>
        <v>1.7957851998160341E+117</v>
      </c>
      <c r="MBF53" s="760">
        <f t="shared" si="174"/>
        <v>1.849658755810515E+117</v>
      </c>
      <c r="MBG53" s="760">
        <f t="shared" si="174"/>
        <v>1.9051485184848306E+117</v>
      </c>
      <c r="MBH53" s="760">
        <f t="shared" si="174"/>
        <v>1.9623029740393755E+117</v>
      </c>
      <c r="MBI53" s="760">
        <f t="shared" si="174"/>
        <v>2.0211720632605568E+117</v>
      </c>
      <c r="MBJ53" s="760">
        <f t="shared" si="174"/>
        <v>2.0818072251583735E+117</v>
      </c>
      <c r="MBK53" s="760">
        <f t="shared" si="174"/>
        <v>2.1442614419131247E+117</v>
      </c>
      <c r="MBL53" s="760">
        <f t="shared" si="174"/>
        <v>2.2085892851705186E+117</v>
      </c>
      <c r="MBM53" s="760">
        <f t="shared" si="174"/>
        <v>2.2748469637256343E+117</v>
      </c>
      <c r="MBN53" s="760">
        <f t="shared" si="174"/>
        <v>2.3430923726374033E+117</v>
      </c>
      <c r="MBO53" s="760">
        <f t="shared" si="174"/>
        <v>2.4133851438165256E+117</v>
      </c>
      <c r="MBP53" s="760">
        <f t="shared" si="174"/>
        <v>2.4857866981310214E+117</v>
      </c>
      <c r="MBQ53" s="760">
        <f t="shared" si="174"/>
        <v>2.5603602990749519E+117</v>
      </c>
      <c r="MBR53" s="760">
        <f t="shared" si="174"/>
        <v>2.6371711080472003E+117</v>
      </c>
      <c r="MBS53" s="760">
        <f t="shared" si="174"/>
        <v>2.7162862412886162E+117</v>
      </c>
      <c r="MBT53" s="760">
        <f t="shared" si="174"/>
        <v>2.7977748285272746E+117</v>
      </c>
      <c r="MBU53" s="760">
        <f t="shared" si="174"/>
        <v>2.881708073383093E+117</v>
      </c>
      <c r="MBV53" s="760">
        <f t="shared" si="174"/>
        <v>2.9681593155845859E+117</v>
      </c>
      <c r="MBW53" s="760">
        <f t="shared" si="174"/>
        <v>3.0572040950521235E+117</v>
      </c>
      <c r="MBX53" s="760">
        <f t="shared" si="174"/>
        <v>3.1489202179036873E+117</v>
      </c>
      <c r="MBY53" s="760">
        <f t="shared" si="174"/>
        <v>3.243387824440798E+117</v>
      </c>
      <c r="MBZ53" s="760">
        <f t="shared" si="174"/>
        <v>3.3406894591740222E+117</v>
      </c>
      <c r="MCA53" s="760">
        <f t="shared" si="174"/>
        <v>3.440910142949243E+117</v>
      </c>
      <c r="MCB53" s="760">
        <f t="shared" si="174"/>
        <v>3.5441374472377202E+117</v>
      </c>
      <c r="MCC53" s="760">
        <f t="shared" si="174"/>
        <v>3.6504615706548522E+117</v>
      </c>
      <c r="MCD53" s="760">
        <f t="shared" si="174"/>
        <v>3.7599754177744977E+117</v>
      </c>
      <c r="MCE53" s="760">
        <f t="shared" si="174"/>
        <v>3.8727746803077326E+117</v>
      </c>
      <c r="MCF53" s="760">
        <f t="shared" si="174"/>
        <v>3.9889579207169648E+117</v>
      </c>
      <c r="MCG53" s="760">
        <f t="shared" si="174"/>
        <v>4.108626658338474E+117</v>
      </c>
      <c r="MCH53" s="760">
        <f t="shared" si="174"/>
        <v>4.2318854580886283E+117</v>
      </c>
      <c r="MCI53" s="760">
        <f t="shared" si="174"/>
        <v>4.358842021831287E+117</v>
      </c>
      <c r="MCJ53" s="760">
        <f t="shared" si="174"/>
        <v>4.4896072824862259E+117</v>
      </c>
      <c r="MCK53" s="760">
        <f t="shared" si="174"/>
        <v>4.6242955009608128E+117</v>
      </c>
      <c r="MCL53" s="760">
        <f t="shared" si="174"/>
        <v>4.7630243659896371E+117</v>
      </c>
      <c r="MCM53" s="760">
        <f t="shared" si="174"/>
        <v>4.9059150969693262E+117</v>
      </c>
      <c r="MCN53" s="760">
        <f t="shared" si="174"/>
        <v>5.053092549878406E+117</v>
      </c>
      <c r="MCO53" s="760">
        <f t="shared" si="174"/>
        <v>5.2046853263747582E+117</v>
      </c>
      <c r="MCP53" s="760">
        <f t="shared" si="174"/>
        <v>5.3608258861660012E+117</v>
      </c>
      <c r="MCQ53" s="760">
        <f t="shared" si="174"/>
        <v>5.5216506627509818E+117</v>
      </c>
      <c r="MCR53" s="760">
        <f t="shared" si="174"/>
        <v>5.6873001826335111E+117</v>
      </c>
      <c r="MCS53" s="760">
        <f t="shared" si="174"/>
        <v>5.8579191881125168E+117</v>
      </c>
      <c r="MCT53" s="760">
        <f t="shared" si="174"/>
        <v>6.0336567637558919E+117</v>
      </c>
      <c r="MCU53" s="760">
        <f t="shared" si="174"/>
        <v>6.2146664666685694E+117</v>
      </c>
      <c r="MCV53" s="760">
        <f t="shared" si="174"/>
        <v>6.4011064606686271E+117</v>
      </c>
      <c r="MCW53" s="760">
        <f t="shared" si="174"/>
        <v>6.5931396544886857E+117</v>
      </c>
      <c r="MCX53" s="760">
        <f t="shared" si="174"/>
        <v>6.7909338441233461E+117</v>
      </c>
      <c r="MCY53" s="760">
        <f t="shared" si="174"/>
        <v>6.9946618594470468E+117</v>
      </c>
      <c r="MCZ53" s="760">
        <f t="shared" si="174"/>
        <v>7.2045017152304585E+117</v>
      </c>
      <c r="MDA53" s="760">
        <f t="shared" si="174"/>
        <v>7.4206367666873719E+117</v>
      </c>
      <c r="MDB53" s="760">
        <f t="shared" si="174"/>
        <v>7.6432558696879933E+117</v>
      </c>
      <c r="MDC53" s="760">
        <f t="shared" si="174"/>
        <v>7.8725535457786335E+117</v>
      </c>
      <c r="MDD53" s="760">
        <f t="shared" si="174"/>
        <v>8.1087301521519925E+117</v>
      </c>
      <c r="MDE53" s="760">
        <f t="shared" si="174"/>
        <v>8.3519920567165524E+117</v>
      </c>
      <c r="MDF53" s="760">
        <f t="shared" si="174"/>
        <v>8.6025518184180491E+117</v>
      </c>
      <c r="MDG53" s="760">
        <f t="shared" si="174"/>
        <v>8.8606283729705905E+117</v>
      </c>
      <c r="MDH53" s="760">
        <f t="shared" si="174"/>
        <v>9.1264472241597086E+117</v>
      </c>
      <c r="MDI53" s="760">
        <f t="shared" si="174"/>
        <v>9.4002406408844999E+117</v>
      </c>
      <c r="MDJ53" s="760">
        <f t="shared" si="174"/>
        <v>9.6822478601110352E+117</v>
      </c>
      <c r="MDK53" s="760">
        <f t="shared" ref="MDK53:MFV53" si="175">+MDJ53*$C$53</f>
        <v>9.9727152959143669E+117</v>
      </c>
      <c r="MDL53" s="760">
        <f t="shared" si="175"/>
        <v>1.0271896754791798E+118</v>
      </c>
      <c r="MDM53" s="760">
        <f t="shared" si="175"/>
        <v>1.0580053657435553E+118</v>
      </c>
      <c r="MDN53" s="760">
        <f t="shared" si="175"/>
        <v>1.0897455267158619E+118</v>
      </c>
      <c r="MDO53" s="760">
        <f t="shared" si="175"/>
        <v>1.1224378925173378E+118</v>
      </c>
      <c r="MDP53" s="760">
        <f t="shared" si="175"/>
        <v>1.156111029292858E+118</v>
      </c>
      <c r="MDQ53" s="760">
        <f t="shared" si="175"/>
        <v>1.1907943601716437E+118</v>
      </c>
      <c r="MDR53" s="760">
        <f t="shared" si="175"/>
        <v>1.2265181909767932E+118</v>
      </c>
      <c r="MDS53" s="760">
        <f t="shared" si="175"/>
        <v>1.2633137367060971E+118</v>
      </c>
      <c r="MDT53" s="760">
        <f t="shared" si="175"/>
        <v>1.3012131488072801E+118</v>
      </c>
      <c r="MDU53" s="760">
        <f t="shared" si="175"/>
        <v>1.3402495432714985E+118</v>
      </c>
      <c r="MDV53" s="760">
        <f t="shared" si="175"/>
        <v>1.3804570295696435E+118</v>
      </c>
      <c r="MDW53" s="760">
        <f t="shared" si="175"/>
        <v>1.421870740456733E+118</v>
      </c>
      <c r="MDX53" s="760">
        <f t="shared" si="175"/>
        <v>1.4645268626704349E+118</v>
      </c>
      <c r="MDY53" s="760">
        <f t="shared" si="175"/>
        <v>1.5084626685505481E+118</v>
      </c>
      <c r="MDZ53" s="760">
        <f t="shared" si="175"/>
        <v>1.5537165486070645E+118</v>
      </c>
      <c r="MEA53" s="760">
        <f t="shared" si="175"/>
        <v>1.6003280450652766E+118</v>
      </c>
      <c r="MEB53" s="760">
        <f t="shared" si="175"/>
        <v>1.6483378864172349E+118</v>
      </c>
      <c r="MEC53" s="760">
        <f t="shared" si="175"/>
        <v>1.697788023009752E+118</v>
      </c>
      <c r="MED53" s="760">
        <f t="shared" si="175"/>
        <v>1.7487216637000445E+118</v>
      </c>
      <c r="MEE53" s="760">
        <f t="shared" si="175"/>
        <v>1.8011833136110458E+118</v>
      </c>
      <c r="MEF53" s="760">
        <f t="shared" si="175"/>
        <v>1.8552188130193773E+118</v>
      </c>
      <c r="MEG53" s="760">
        <f t="shared" si="175"/>
        <v>1.9108753774099587E+118</v>
      </c>
      <c r="MEH53" s="760">
        <f t="shared" si="175"/>
        <v>1.9682016387322575E+118</v>
      </c>
      <c r="MEI53" s="760">
        <f t="shared" si="175"/>
        <v>2.0272476878942255E+118</v>
      </c>
      <c r="MEJ53" s="760">
        <f t="shared" si="175"/>
        <v>2.0880651185310525E+118</v>
      </c>
      <c r="MEK53" s="760">
        <f t="shared" si="175"/>
        <v>2.1507070720869843E+118</v>
      </c>
      <c r="MEL53" s="760">
        <f t="shared" si="175"/>
        <v>2.2152282842495939E+118</v>
      </c>
      <c r="MEM53" s="760">
        <f t="shared" si="175"/>
        <v>2.2816851327770819E+118</v>
      </c>
      <c r="MEN53" s="760">
        <f t="shared" si="175"/>
        <v>2.3501356867603944E+118</v>
      </c>
      <c r="MEO53" s="760">
        <f t="shared" si="175"/>
        <v>2.4206397573632063E+118</v>
      </c>
      <c r="MEP53" s="760">
        <f t="shared" si="175"/>
        <v>2.4932589500841027E+118</v>
      </c>
      <c r="MEQ53" s="760">
        <f t="shared" si="175"/>
        <v>2.5680567185866257E+118</v>
      </c>
      <c r="MER53" s="760">
        <f t="shared" si="175"/>
        <v>2.6450984201442246E+118</v>
      </c>
      <c r="MES53" s="760">
        <f t="shared" si="175"/>
        <v>2.7244513727485514E+118</v>
      </c>
      <c r="MET53" s="760">
        <f t="shared" si="175"/>
        <v>2.8061849139310079E+118</v>
      </c>
      <c r="MEU53" s="760">
        <f t="shared" si="175"/>
        <v>2.8903704613489381E+118</v>
      </c>
      <c r="MEV53" s="760">
        <f t="shared" si="175"/>
        <v>2.9770815751894063E+118</v>
      </c>
      <c r="MEW53" s="760">
        <f t="shared" si="175"/>
        <v>3.0663940224450884E+118</v>
      </c>
      <c r="MEX53" s="760">
        <f t="shared" si="175"/>
        <v>3.1583858431184411E+118</v>
      </c>
      <c r="MEY53" s="760">
        <f t="shared" si="175"/>
        <v>3.2531374184119944E+118</v>
      </c>
      <c r="MEZ53" s="760">
        <f t="shared" si="175"/>
        <v>3.3507315409643543E+118</v>
      </c>
      <c r="MFA53" s="760">
        <f t="shared" si="175"/>
        <v>3.4512534871932848E+118</v>
      </c>
      <c r="MFB53" s="760">
        <f t="shared" si="175"/>
        <v>3.5547910918090832E+118</v>
      </c>
      <c r="MFC53" s="760">
        <f t="shared" si="175"/>
        <v>3.6614348245633557E+118</v>
      </c>
      <c r="MFD53" s="760">
        <f t="shared" si="175"/>
        <v>3.7712778693002567E+118</v>
      </c>
      <c r="MFE53" s="760">
        <f t="shared" si="175"/>
        <v>3.8844162053792646E+118</v>
      </c>
      <c r="MFF53" s="760">
        <f t="shared" si="175"/>
        <v>4.0009486915406425E+118</v>
      </c>
      <c r="MFG53" s="760">
        <f t="shared" si="175"/>
        <v>4.1209771522868617E+118</v>
      </c>
      <c r="MFH53" s="760">
        <f t="shared" si="175"/>
        <v>4.2446064668554674E+118</v>
      </c>
      <c r="MFI53" s="760">
        <f t="shared" si="175"/>
        <v>4.3719446608611318E+118</v>
      </c>
      <c r="MFJ53" s="760">
        <f t="shared" si="175"/>
        <v>4.5031030006869655E+118</v>
      </c>
      <c r="MFK53" s="760">
        <f t="shared" si="175"/>
        <v>4.6381960907075747E+118</v>
      </c>
      <c r="MFL53" s="760">
        <f t="shared" si="175"/>
        <v>4.7773419734288016E+118</v>
      </c>
      <c r="MFM53" s="760">
        <f t="shared" si="175"/>
        <v>4.9206622326316659E+118</v>
      </c>
      <c r="MFN53" s="760">
        <f t="shared" si="175"/>
        <v>5.0682820996106162E+118</v>
      </c>
      <c r="MFO53" s="760">
        <f t="shared" si="175"/>
        <v>5.2203305625989345E+118</v>
      </c>
      <c r="MFP53" s="760">
        <f t="shared" si="175"/>
        <v>5.3769404794769027E+118</v>
      </c>
      <c r="MFQ53" s="760">
        <f t="shared" si="175"/>
        <v>5.5382486938612095E+118</v>
      </c>
      <c r="MFR53" s="760">
        <f t="shared" si="175"/>
        <v>5.7043961546770462E+118</v>
      </c>
      <c r="MFS53" s="760">
        <f t="shared" si="175"/>
        <v>5.8755280393173574E+118</v>
      </c>
      <c r="MFT53" s="760">
        <f t="shared" si="175"/>
        <v>6.051793880496878E+118</v>
      </c>
      <c r="MFU53" s="760">
        <f t="shared" si="175"/>
        <v>6.2333476969117841E+118</v>
      </c>
      <c r="MFV53" s="760">
        <f t="shared" si="175"/>
        <v>6.4203481278191374E+118</v>
      </c>
      <c r="MFW53" s="760">
        <f t="shared" ref="MFW53:MIH53" si="176">+MFV53*$C$53</f>
        <v>6.6129585716537115E+118</v>
      </c>
      <c r="MFX53" s="760">
        <f t="shared" si="176"/>
        <v>6.811347328803323E+118</v>
      </c>
      <c r="MFY53" s="760">
        <f t="shared" si="176"/>
        <v>7.0156877486674228E+118</v>
      </c>
      <c r="MFZ53" s="760">
        <f t="shared" si="176"/>
        <v>7.2261583811274454E+118</v>
      </c>
      <c r="MGA53" s="760">
        <f t="shared" si="176"/>
        <v>7.4429431325612686E+118</v>
      </c>
      <c r="MGB53" s="760">
        <f t="shared" si="176"/>
        <v>7.6662314265381067E+118</v>
      </c>
      <c r="MGC53" s="760">
        <f t="shared" si="176"/>
        <v>7.8962183693342498E+118</v>
      </c>
      <c r="MGD53" s="760">
        <f t="shared" si="176"/>
        <v>8.133104920414277E+118</v>
      </c>
      <c r="MGE53" s="760">
        <f t="shared" si="176"/>
        <v>8.3770980680267063E+118</v>
      </c>
      <c r="MGF53" s="760">
        <f t="shared" si="176"/>
        <v>8.6284110100675084E+118</v>
      </c>
      <c r="MGG53" s="760">
        <f t="shared" si="176"/>
        <v>8.8872633403695337E+118</v>
      </c>
      <c r="MGH53" s="760">
        <f t="shared" si="176"/>
        <v>9.1538812405806197E+118</v>
      </c>
      <c r="MGI53" s="760">
        <f t="shared" si="176"/>
        <v>9.4284976777980384E+118</v>
      </c>
      <c r="MGJ53" s="760">
        <f t="shared" si="176"/>
        <v>9.7113526081319796E+118</v>
      </c>
      <c r="MGK53" s="760">
        <f t="shared" si="176"/>
        <v>1.000269318637594E+119</v>
      </c>
      <c r="MGL53" s="760">
        <f t="shared" si="176"/>
        <v>1.0302773981967219E+119</v>
      </c>
      <c r="MGM53" s="760">
        <f t="shared" si="176"/>
        <v>1.0611857201426236E+119</v>
      </c>
      <c r="MGN53" s="760">
        <f t="shared" si="176"/>
        <v>1.0930212917469024E+119</v>
      </c>
      <c r="MGO53" s="760">
        <f t="shared" si="176"/>
        <v>1.1258119304993094E+119</v>
      </c>
      <c r="MGP53" s="760">
        <f t="shared" si="176"/>
        <v>1.1595862884142887E+119</v>
      </c>
      <c r="MGQ53" s="760">
        <f t="shared" si="176"/>
        <v>1.1943738770667174E+119</v>
      </c>
      <c r="MGR53" s="760">
        <f t="shared" si="176"/>
        <v>1.2302050933787189E+119</v>
      </c>
      <c r="MGS53" s="760">
        <f t="shared" si="176"/>
        <v>1.2671112461800805E+119</v>
      </c>
      <c r="MGT53" s="760">
        <f t="shared" si="176"/>
        <v>1.3051245835654829E+119</v>
      </c>
      <c r="MGU53" s="760">
        <f t="shared" si="176"/>
        <v>1.3442783210724474E+119</v>
      </c>
      <c r="MGV53" s="760">
        <f t="shared" si="176"/>
        <v>1.3846066707046209E+119</v>
      </c>
      <c r="MGW53" s="760">
        <f t="shared" si="176"/>
        <v>1.4261448708257596E+119</v>
      </c>
      <c r="MGX53" s="760">
        <f t="shared" si="176"/>
        <v>1.4689292169505324E+119</v>
      </c>
      <c r="MGY53" s="760">
        <f t="shared" si="176"/>
        <v>1.5129970934590484E+119</v>
      </c>
      <c r="MGZ53" s="760">
        <f t="shared" si="176"/>
        <v>1.5583870062628198E+119</v>
      </c>
      <c r="MHA53" s="760">
        <f t="shared" si="176"/>
        <v>1.6051386164507044E+119</v>
      </c>
      <c r="MHB53" s="760">
        <f t="shared" si="176"/>
        <v>1.6532927749442254E+119</v>
      </c>
      <c r="MHC53" s="760">
        <f t="shared" si="176"/>
        <v>1.7028915581925523E+119</v>
      </c>
      <c r="MHD53" s="760">
        <f t="shared" si="176"/>
        <v>1.7539783049383291E+119</v>
      </c>
      <c r="MHE53" s="760">
        <f t="shared" si="176"/>
        <v>1.806597654086479E+119</v>
      </c>
      <c r="MHF53" s="760">
        <f t="shared" si="176"/>
        <v>1.8607955837090735E+119</v>
      </c>
      <c r="MHG53" s="760">
        <f t="shared" si="176"/>
        <v>1.9166194512203458E+119</v>
      </c>
      <c r="MHH53" s="760">
        <f t="shared" si="176"/>
        <v>1.9741180347569562E+119</v>
      </c>
      <c r="MHI53" s="760">
        <f t="shared" si="176"/>
        <v>2.0333415757996648E+119</v>
      </c>
      <c r="MHJ53" s="760">
        <f t="shared" si="176"/>
        <v>2.0943418230736548E+119</v>
      </c>
      <c r="MHK53" s="760">
        <f t="shared" si="176"/>
        <v>2.1571720777658646E+119</v>
      </c>
      <c r="MHL53" s="760">
        <f t="shared" si="176"/>
        <v>2.2218872400988405E+119</v>
      </c>
      <c r="MHM53" s="760">
        <f t="shared" si="176"/>
        <v>2.2885438573018056E+119</v>
      </c>
      <c r="MHN53" s="760">
        <f t="shared" si="176"/>
        <v>2.3572001730208599E+119</v>
      </c>
      <c r="MHO53" s="760">
        <f t="shared" si="176"/>
        <v>2.4279161782114857E+119</v>
      </c>
      <c r="MHP53" s="760">
        <f t="shared" si="176"/>
        <v>2.5007536635578305E+119</v>
      </c>
      <c r="MHQ53" s="760">
        <f t="shared" si="176"/>
        <v>2.5757762734645653E+119</v>
      </c>
      <c r="MHR53" s="760">
        <f t="shared" si="176"/>
        <v>2.6530495616685022E+119</v>
      </c>
      <c r="MHS53" s="760">
        <f t="shared" si="176"/>
        <v>2.7326410485185574E+119</v>
      </c>
      <c r="MHT53" s="760">
        <f t="shared" si="176"/>
        <v>2.8146202799741141E+119</v>
      </c>
      <c r="MHU53" s="760">
        <f t="shared" si="176"/>
        <v>2.8990588883733377E+119</v>
      </c>
      <c r="MHV53" s="760">
        <f t="shared" si="176"/>
        <v>2.9860306550245378E+119</v>
      </c>
      <c r="MHW53" s="760">
        <f t="shared" si="176"/>
        <v>3.075611574675274E+119</v>
      </c>
      <c r="MHX53" s="760">
        <f t="shared" si="176"/>
        <v>3.1678799219155322E+119</v>
      </c>
      <c r="MHY53" s="760">
        <f t="shared" si="176"/>
        <v>3.262916319572998E+119</v>
      </c>
      <c r="MHZ53" s="760">
        <f t="shared" si="176"/>
        <v>3.360803809160188E+119</v>
      </c>
      <c r="MIA53" s="760">
        <f t="shared" si="176"/>
        <v>3.4616279234349934E+119</v>
      </c>
      <c r="MIB53" s="760">
        <f t="shared" si="176"/>
        <v>3.5654767611380437E+119</v>
      </c>
      <c r="MIC53" s="760">
        <f t="shared" si="176"/>
        <v>3.6724410639721852E+119</v>
      </c>
      <c r="MID53" s="760">
        <f t="shared" si="176"/>
        <v>3.7826142958913512E+119</v>
      </c>
      <c r="MIE53" s="760">
        <f t="shared" si="176"/>
        <v>3.8960927247680919E+119</v>
      </c>
      <c r="MIF53" s="760">
        <f t="shared" si="176"/>
        <v>4.0129755065111347E+119</v>
      </c>
      <c r="MIG53" s="760">
        <f t="shared" si="176"/>
        <v>4.133364771706469E+119</v>
      </c>
      <c r="MIH53" s="760">
        <f t="shared" si="176"/>
        <v>4.2573657148576633E+119</v>
      </c>
      <c r="MII53" s="760">
        <f t="shared" ref="MII53:MKT53" si="177">+MIH53*$C$53</f>
        <v>4.3850866863033933E+119</v>
      </c>
      <c r="MIJ53" s="760">
        <f t="shared" si="177"/>
        <v>4.5166392868924951E+119</v>
      </c>
      <c r="MIK53" s="760">
        <f t="shared" si="177"/>
        <v>4.6521384654992702E+119</v>
      </c>
      <c r="MIL53" s="760">
        <f t="shared" si="177"/>
        <v>4.7917026194642485E+119</v>
      </c>
      <c r="MIM53" s="760">
        <f t="shared" si="177"/>
        <v>4.9354536980481759E+119</v>
      </c>
      <c r="MIN53" s="760">
        <f t="shared" si="177"/>
        <v>5.0835173089896217E+119</v>
      </c>
      <c r="MIO53" s="760">
        <f t="shared" si="177"/>
        <v>5.2360228282593101E+119</v>
      </c>
      <c r="MIP53" s="760">
        <f t="shared" si="177"/>
        <v>5.3931035131070894E+119</v>
      </c>
      <c r="MIQ53" s="760">
        <f t="shared" si="177"/>
        <v>5.5548966185003025E+119</v>
      </c>
      <c r="MIR53" s="760">
        <f t="shared" si="177"/>
        <v>5.721543517055312E+119</v>
      </c>
      <c r="MIS53" s="760">
        <f t="shared" si="177"/>
        <v>5.8931898225669716E+119</v>
      </c>
      <c r="MIT53" s="760">
        <f t="shared" si="177"/>
        <v>6.0699855172439808E+119</v>
      </c>
      <c r="MIU53" s="760">
        <f t="shared" si="177"/>
        <v>6.2520850827613002E+119</v>
      </c>
      <c r="MIV53" s="760">
        <f t="shared" si="177"/>
        <v>6.4396476352441392E+119</v>
      </c>
      <c r="MIW53" s="760">
        <f t="shared" si="177"/>
        <v>6.632837064301463E+119</v>
      </c>
      <c r="MIX53" s="760">
        <f t="shared" si="177"/>
        <v>6.8318221762305064E+119</v>
      </c>
      <c r="MIY53" s="760">
        <f t="shared" si="177"/>
        <v>7.0367768415174211E+119</v>
      </c>
      <c r="MIZ53" s="760">
        <f t="shared" si="177"/>
        <v>7.2478801467629439E+119</v>
      </c>
      <c r="MJA53" s="760">
        <f t="shared" si="177"/>
        <v>7.4653165511658326E+119</v>
      </c>
      <c r="MJB53" s="760">
        <f t="shared" si="177"/>
        <v>7.6892760477008078E+119</v>
      </c>
      <c r="MJC53" s="760">
        <f t="shared" si="177"/>
        <v>7.9199543291318317E+119</v>
      </c>
      <c r="MJD53" s="760">
        <f t="shared" si="177"/>
        <v>8.1575529590057871E+119</v>
      </c>
      <c r="MJE53" s="760">
        <f t="shared" si="177"/>
        <v>8.4022795477759606E+119</v>
      </c>
      <c r="MJF53" s="760">
        <f t="shared" si="177"/>
        <v>8.6543479342092389E+119</v>
      </c>
      <c r="MJG53" s="760">
        <f t="shared" si="177"/>
        <v>8.9139783722355161E+119</v>
      </c>
      <c r="MJH53" s="760">
        <f t="shared" si="177"/>
        <v>9.1813977234025812E+119</v>
      </c>
      <c r="MJI53" s="760">
        <f t="shared" si="177"/>
        <v>9.4568396551046596E+119</v>
      </c>
      <c r="MJJ53" s="760">
        <f t="shared" si="177"/>
        <v>9.7405448447577993E+119</v>
      </c>
      <c r="MJK53" s="760">
        <f t="shared" si="177"/>
        <v>1.0032761190100534E+120</v>
      </c>
      <c r="MJL53" s="760">
        <f t="shared" si="177"/>
        <v>1.033374402580355E+120</v>
      </c>
      <c r="MJM53" s="760">
        <f t="shared" si="177"/>
        <v>1.0643756346577657E+120</v>
      </c>
      <c r="MJN53" s="760">
        <f t="shared" si="177"/>
        <v>1.0963069036974986E+120</v>
      </c>
      <c r="MJO53" s="760">
        <f t="shared" si="177"/>
        <v>1.1291961108084237E+120</v>
      </c>
      <c r="MJP53" s="760">
        <f t="shared" si="177"/>
        <v>1.1630719941326765E+120</v>
      </c>
      <c r="MJQ53" s="760">
        <f t="shared" si="177"/>
        <v>1.1979641539566568E+120</v>
      </c>
      <c r="MJR53" s="760">
        <f t="shared" si="177"/>
        <v>1.2339030785753565E+120</v>
      </c>
      <c r="MJS53" s="760">
        <f t="shared" si="177"/>
        <v>1.2709201709326173E+120</v>
      </c>
      <c r="MJT53" s="760">
        <f t="shared" si="177"/>
        <v>1.3090477760605959E+120</v>
      </c>
      <c r="MJU53" s="760">
        <f t="shared" si="177"/>
        <v>1.3483192093424138E+120</v>
      </c>
      <c r="MJV53" s="760">
        <f t="shared" si="177"/>
        <v>1.3887687856226864E+120</v>
      </c>
      <c r="MJW53" s="760">
        <f t="shared" si="177"/>
        <v>1.4304318491913669E+120</v>
      </c>
      <c r="MJX53" s="760">
        <f t="shared" si="177"/>
        <v>1.4733448046671078E+120</v>
      </c>
      <c r="MJY53" s="760">
        <f t="shared" si="177"/>
        <v>1.5175451488071211E+120</v>
      </c>
      <c r="MJZ53" s="760">
        <f t="shared" si="177"/>
        <v>1.5630715032713349E+120</v>
      </c>
      <c r="MKA53" s="760">
        <f t="shared" si="177"/>
        <v>1.609963648369475E+120</v>
      </c>
      <c r="MKB53" s="760">
        <f t="shared" si="177"/>
        <v>1.6582625578205594E+120</v>
      </c>
      <c r="MKC53" s="760">
        <f t="shared" si="177"/>
        <v>1.7080104345551763E+120</v>
      </c>
      <c r="MKD53" s="760">
        <f t="shared" si="177"/>
        <v>1.7592507475918315E+120</v>
      </c>
      <c r="MKE53" s="760">
        <f t="shared" si="177"/>
        <v>1.8120282700195864E+120</v>
      </c>
      <c r="MKF53" s="760">
        <f t="shared" si="177"/>
        <v>1.866389118120174E+120</v>
      </c>
      <c r="MKG53" s="760">
        <f t="shared" si="177"/>
        <v>1.9223807916637792E+120</v>
      </c>
      <c r="MKH53" s="760">
        <f t="shared" si="177"/>
        <v>1.9800522154136927E+120</v>
      </c>
      <c r="MKI53" s="760">
        <f t="shared" si="177"/>
        <v>2.0394537818761035E+120</v>
      </c>
      <c r="MKJ53" s="760">
        <f t="shared" si="177"/>
        <v>2.1006373953323867E+120</v>
      </c>
      <c r="MKK53" s="760">
        <f t="shared" si="177"/>
        <v>2.1636565171923583E+120</v>
      </c>
      <c r="MKL53" s="760">
        <f t="shared" si="177"/>
        <v>2.2285662127081291E+120</v>
      </c>
      <c r="MKM53" s="760">
        <f t="shared" si="177"/>
        <v>2.2954231990893731E+120</v>
      </c>
      <c r="MKN53" s="760">
        <f t="shared" si="177"/>
        <v>2.3642858950620545E+120</v>
      </c>
      <c r="MKO53" s="760">
        <f t="shared" si="177"/>
        <v>2.4352144719139162E+120</v>
      </c>
      <c r="MKP53" s="760">
        <f t="shared" si="177"/>
        <v>2.5082709060713337E+120</v>
      </c>
      <c r="MKQ53" s="760">
        <f t="shared" si="177"/>
        <v>2.5835190332534737E+120</v>
      </c>
      <c r="MKR53" s="760">
        <f t="shared" si="177"/>
        <v>2.661024604251078E+120</v>
      </c>
      <c r="MKS53" s="760">
        <f t="shared" si="177"/>
        <v>2.7408553423786107E+120</v>
      </c>
      <c r="MKT53" s="760">
        <f t="shared" si="177"/>
        <v>2.8230810026499693E+120</v>
      </c>
      <c r="MKU53" s="760">
        <f t="shared" ref="MKU53:MNF53" si="178">+MKT53*$C$53</f>
        <v>2.9077734327294686E+120</v>
      </c>
      <c r="MKV53" s="760">
        <f t="shared" si="178"/>
        <v>2.9950066357113525E+120</v>
      </c>
      <c r="MKW53" s="760">
        <f t="shared" si="178"/>
        <v>3.0848568347826935E+120</v>
      </c>
      <c r="MKX53" s="760">
        <f t="shared" si="178"/>
        <v>3.1774025398261742E+120</v>
      </c>
      <c r="MKY53" s="760">
        <f t="shared" si="178"/>
        <v>3.2727246160209598E+120</v>
      </c>
      <c r="MKZ53" s="760">
        <f t="shared" si="178"/>
        <v>3.3709063545015885E+120</v>
      </c>
      <c r="MLA53" s="760">
        <f t="shared" si="178"/>
        <v>3.4720335451366364E+120</v>
      </c>
      <c r="MLB53" s="760">
        <f t="shared" si="178"/>
        <v>3.5761945514907357E+120</v>
      </c>
      <c r="MLC53" s="760">
        <f t="shared" si="178"/>
        <v>3.683480388035458E+120</v>
      </c>
      <c r="MLD53" s="760">
        <f t="shared" si="178"/>
        <v>3.7939847996765219E+120</v>
      </c>
      <c r="MLE53" s="760">
        <f t="shared" si="178"/>
        <v>3.9078043436668177E+120</v>
      </c>
      <c r="MLF53" s="760">
        <f t="shared" si="178"/>
        <v>4.0250384739768222E+120</v>
      </c>
      <c r="MLG53" s="760">
        <f t="shared" si="178"/>
        <v>4.1457896281961268E+120</v>
      </c>
      <c r="MLH53" s="760">
        <f t="shared" si="178"/>
        <v>4.2701633170420107E+120</v>
      </c>
      <c r="MLI53" s="760">
        <f t="shared" si="178"/>
        <v>4.3982682165532711E+120</v>
      </c>
      <c r="MLJ53" s="760">
        <f t="shared" si="178"/>
        <v>4.5302162630498694E+120</v>
      </c>
      <c r="MLK53" s="760">
        <f t="shared" si="178"/>
        <v>4.6661227509413657E+120</v>
      </c>
      <c r="MLL53" s="760">
        <f t="shared" si="178"/>
        <v>4.8061064334696069E+120</v>
      </c>
      <c r="MLM53" s="760">
        <f t="shared" si="178"/>
        <v>4.9502896264736951E+120</v>
      </c>
      <c r="MLN53" s="760">
        <f t="shared" si="178"/>
        <v>5.0987983152679063E+120</v>
      </c>
      <c r="MLO53" s="760">
        <f t="shared" si="178"/>
        <v>5.2517622647259432E+120</v>
      </c>
      <c r="MLP53" s="760">
        <f t="shared" si="178"/>
        <v>5.4093151326677214E+120</v>
      </c>
      <c r="MLQ53" s="760">
        <f t="shared" si="178"/>
        <v>5.5715945866477528E+120</v>
      </c>
      <c r="MLR53" s="760">
        <f t="shared" si="178"/>
        <v>5.7387424242471853E+120</v>
      </c>
      <c r="MLS53" s="760">
        <f t="shared" si="178"/>
        <v>5.9109046969746009E+120</v>
      </c>
      <c r="MLT53" s="760">
        <f t="shared" si="178"/>
        <v>6.0882318378838397E+120</v>
      </c>
      <c r="MLU53" s="760">
        <f t="shared" si="178"/>
        <v>6.2708787930203555E+120</v>
      </c>
      <c r="MLV53" s="760">
        <f t="shared" si="178"/>
        <v>6.4590051568109659E+120</v>
      </c>
      <c r="MLW53" s="760">
        <f t="shared" si="178"/>
        <v>6.6527753115152946E+120</v>
      </c>
      <c r="MLX53" s="760">
        <f t="shared" si="178"/>
        <v>6.8523585708607531E+120</v>
      </c>
      <c r="MLY53" s="760">
        <f t="shared" si="178"/>
        <v>7.0579293279865755E+120</v>
      </c>
      <c r="MLZ53" s="760">
        <f t="shared" si="178"/>
        <v>7.2696672078261732E+120</v>
      </c>
      <c r="MMA53" s="760">
        <f t="shared" si="178"/>
        <v>7.487757224060959E+120</v>
      </c>
      <c r="MMB53" s="760">
        <f t="shared" si="178"/>
        <v>7.7123899407827883E+120</v>
      </c>
      <c r="MMC53" s="760">
        <f t="shared" si="178"/>
        <v>7.9437616390062718E+120</v>
      </c>
      <c r="MMD53" s="760">
        <f t="shared" si="178"/>
        <v>8.1820744881764598E+120</v>
      </c>
      <c r="MME53" s="760">
        <f t="shared" si="178"/>
        <v>8.427536722821754E+120</v>
      </c>
      <c r="MMF53" s="760">
        <f t="shared" si="178"/>
        <v>8.6803628245064065E+120</v>
      </c>
      <c r="MMG53" s="760">
        <f t="shared" si="178"/>
        <v>8.9407737092415993E+120</v>
      </c>
      <c r="MMH53" s="760">
        <f t="shared" si="178"/>
        <v>9.2089969205188472E+120</v>
      </c>
      <c r="MMI53" s="760">
        <f t="shared" si="178"/>
        <v>9.4852668281344125E+120</v>
      </c>
      <c r="MMJ53" s="760">
        <f t="shared" si="178"/>
        <v>9.769824832978445E+120</v>
      </c>
      <c r="MMK53" s="760">
        <f t="shared" si="178"/>
        <v>1.0062919577967799E+121</v>
      </c>
      <c r="MML53" s="760">
        <f t="shared" si="178"/>
        <v>1.0364807165306833E+121</v>
      </c>
      <c r="MMM53" s="760">
        <f t="shared" si="178"/>
        <v>1.0675751380266038E+121</v>
      </c>
      <c r="MMN53" s="760">
        <f t="shared" si="178"/>
        <v>1.0996023921674019E+121</v>
      </c>
      <c r="MMO53" s="760">
        <f t="shared" si="178"/>
        <v>1.1325904639324239E+121</v>
      </c>
      <c r="MMP53" s="760">
        <f t="shared" si="178"/>
        <v>1.1665681778503966E+121</v>
      </c>
      <c r="MMQ53" s="760">
        <f t="shared" si="178"/>
        <v>1.2015652231859086E+121</v>
      </c>
      <c r="MMR53" s="760">
        <f t="shared" si="178"/>
        <v>1.2376121798814859E+121</v>
      </c>
      <c r="MMS53" s="760">
        <f t="shared" si="178"/>
        <v>1.2747405452779304E+121</v>
      </c>
      <c r="MMT53" s="760">
        <f t="shared" si="178"/>
        <v>1.3129827616362685E+121</v>
      </c>
      <c r="MMU53" s="760">
        <f t="shared" si="178"/>
        <v>1.3523722444853564E+121</v>
      </c>
      <c r="MMV53" s="760">
        <f t="shared" si="178"/>
        <v>1.3929434118199173E+121</v>
      </c>
      <c r="MMW53" s="760">
        <f t="shared" si="178"/>
        <v>1.4347317141745148E+121</v>
      </c>
      <c r="MMX53" s="760">
        <f t="shared" si="178"/>
        <v>1.4777736655997503E+121</v>
      </c>
      <c r="MMY53" s="760">
        <f t="shared" si="178"/>
        <v>1.5221068755677428E+121</v>
      </c>
      <c r="MMZ53" s="760">
        <f t="shared" si="178"/>
        <v>1.5677700818347752E+121</v>
      </c>
      <c r="MNA53" s="760">
        <f t="shared" si="178"/>
        <v>1.6148031842898186E+121</v>
      </c>
      <c r="MNB53" s="760">
        <f t="shared" si="178"/>
        <v>1.6632472798185132E+121</v>
      </c>
      <c r="MNC53" s="760">
        <f t="shared" si="178"/>
        <v>1.7131446982130685E+121</v>
      </c>
      <c r="MND53" s="760">
        <f t="shared" si="178"/>
        <v>1.7645390391594606E+121</v>
      </c>
      <c r="MNE53" s="760">
        <f t="shared" si="178"/>
        <v>1.8174752103342443E+121</v>
      </c>
      <c r="MNF53" s="760">
        <f t="shared" si="178"/>
        <v>1.8719994666442716E+121</v>
      </c>
      <c r="MNG53" s="760">
        <f t="shared" ref="MNG53:MPR53" si="179">+MNF53*$C$53</f>
        <v>1.9281594506435998E+121</v>
      </c>
      <c r="MNH53" s="760">
        <f t="shared" si="179"/>
        <v>1.9860042341629078E+121</v>
      </c>
      <c r="MNI53" s="760">
        <f t="shared" si="179"/>
        <v>2.0455843611877951E+121</v>
      </c>
      <c r="MNJ53" s="760">
        <f t="shared" si="179"/>
        <v>2.1069518920234292E+121</v>
      </c>
      <c r="MNK53" s="760">
        <f t="shared" si="179"/>
        <v>2.1701604487841323E+121</v>
      </c>
      <c r="MNL53" s="760">
        <f t="shared" si="179"/>
        <v>2.2352652622476565E+121</v>
      </c>
      <c r="MNM53" s="760">
        <f t="shared" si="179"/>
        <v>2.3023232201150863E+121</v>
      </c>
      <c r="MNN53" s="760">
        <f t="shared" si="179"/>
        <v>2.371392916718539E+121</v>
      </c>
      <c r="MNO53" s="760">
        <f t="shared" si="179"/>
        <v>2.442534704220095E+121</v>
      </c>
      <c r="MNP53" s="760">
        <f t="shared" si="179"/>
        <v>2.5158107453466981E+121</v>
      </c>
      <c r="MNQ53" s="760">
        <f t="shared" si="179"/>
        <v>2.5912850677070989E+121</v>
      </c>
      <c r="MNR53" s="760">
        <f t="shared" si="179"/>
        <v>2.6690236197383119E+121</v>
      </c>
      <c r="MNS53" s="760">
        <f t="shared" si="179"/>
        <v>2.7490943283304612E+121</v>
      </c>
      <c r="MNT53" s="760">
        <f t="shared" si="179"/>
        <v>2.8315671581803753E+121</v>
      </c>
      <c r="MNU53" s="760">
        <f t="shared" si="179"/>
        <v>2.9165141729257865E+121</v>
      </c>
      <c r="MNV53" s="760">
        <f t="shared" si="179"/>
        <v>3.0040095981135603E+121</v>
      </c>
      <c r="MNW53" s="760">
        <f t="shared" si="179"/>
        <v>3.0941298860569674E+121</v>
      </c>
      <c r="MNX53" s="760">
        <f t="shared" si="179"/>
        <v>3.1869537826386763E+121</v>
      </c>
      <c r="MNY53" s="760">
        <f t="shared" si="179"/>
        <v>3.2825623961178367E+121</v>
      </c>
      <c r="MNZ53" s="760">
        <f t="shared" si="179"/>
        <v>3.3810392680013719E+121</v>
      </c>
      <c r="MOA53" s="760">
        <f t="shared" si="179"/>
        <v>3.4824704460414133E+121</v>
      </c>
      <c r="MOB53" s="760">
        <f t="shared" si="179"/>
        <v>3.5869445594226559E+121</v>
      </c>
      <c r="MOC53" s="760">
        <f t="shared" si="179"/>
        <v>3.6945528962053357E+121</v>
      </c>
      <c r="MOD53" s="760">
        <f t="shared" si="179"/>
        <v>3.8053894830914958E+121</v>
      </c>
      <c r="MOE53" s="760">
        <f t="shared" si="179"/>
        <v>3.9195511675842407E+121</v>
      </c>
      <c r="MOF53" s="760">
        <f t="shared" si="179"/>
        <v>4.0371377026117682E+121</v>
      </c>
      <c r="MOG53" s="760">
        <f t="shared" si="179"/>
        <v>4.1582518336901215E+121</v>
      </c>
      <c r="MOH53" s="760">
        <f t="shared" si="179"/>
        <v>4.2829993887008255E+121</v>
      </c>
      <c r="MOI53" s="760">
        <f t="shared" si="179"/>
        <v>4.4114893703618503E+121</v>
      </c>
      <c r="MOJ53" s="760">
        <f t="shared" si="179"/>
        <v>4.5438340514727055E+121</v>
      </c>
      <c r="MOK53" s="760">
        <f t="shared" si="179"/>
        <v>4.6801490730168866E+121</v>
      </c>
      <c r="MOL53" s="760">
        <f t="shared" si="179"/>
        <v>4.8205535452073933E+121</v>
      </c>
      <c r="MOM53" s="760">
        <f t="shared" si="179"/>
        <v>4.9651701515636148E+121</v>
      </c>
      <c r="MON53" s="760">
        <f t="shared" si="179"/>
        <v>5.1141252561105236E+121</v>
      </c>
      <c r="MOO53" s="760">
        <f t="shared" si="179"/>
        <v>5.2675490137938391E+121</v>
      </c>
      <c r="MOP53" s="760">
        <f t="shared" si="179"/>
        <v>5.4255754842076543E+121</v>
      </c>
      <c r="MOQ53" s="760">
        <f t="shared" si="179"/>
        <v>5.5883427487338837E+121</v>
      </c>
      <c r="MOR53" s="760">
        <f t="shared" si="179"/>
        <v>5.7559930311959002E+121</v>
      </c>
      <c r="MOS53" s="760">
        <f t="shared" si="179"/>
        <v>5.9286728221317775E+121</v>
      </c>
      <c r="MOT53" s="760">
        <f t="shared" si="179"/>
        <v>6.1065330067957308E+121</v>
      </c>
      <c r="MOU53" s="760">
        <f t="shared" si="179"/>
        <v>6.2897289969996027E+121</v>
      </c>
      <c r="MOV53" s="760">
        <f t="shared" si="179"/>
        <v>6.4784208669095912E+121</v>
      </c>
      <c r="MOW53" s="760">
        <f t="shared" si="179"/>
        <v>6.6727734929168793E+121</v>
      </c>
      <c r="MOX53" s="760">
        <f t="shared" si="179"/>
        <v>6.8729566977043863E+121</v>
      </c>
      <c r="MOY53" s="760">
        <f t="shared" si="179"/>
        <v>7.0791453986355182E+121</v>
      </c>
      <c r="MOZ53" s="760">
        <f t="shared" si="179"/>
        <v>7.2915197605945835E+121</v>
      </c>
      <c r="MPA53" s="760">
        <f t="shared" si="179"/>
        <v>7.5102653534124213E+121</v>
      </c>
      <c r="MPB53" s="760">
        <f t="shared" si="179"/>
        <v>7.7355733140147943E+121</v>
      </c>
      <c r="MPC53" s="760">
        <f t="shared" si="179"/>
        <v>7.9676405134352385E+121</v>
      </c>
      <c r="MPD53" s="760">
        <f t="shared" si="179"/>
        <v>8.2066697288382956E+121</v>
      </c>
      <c r="MPE53" s="760">
        <f t="shared" si="179"/>
        <v>8.4528698207034445E+121</v>
      </c>
      <c r="MPF53" s="760">
        <f t="shared" si="179"/>
        <v>8.7064559153245476E+121</v>
      </c>
      <c r="MPG53" s="760">
        <f t="shared" si="179"/>
        <v>8.9676495927842844E+121</v>
      </c>
      <c r="MPH53" s="760">
        <f t="shared" si="179"/>
        <v>9.2366790805678127E+121</v>
      </c>
      <c r="MPI53" s="760">
        <f t="shared" si="179"/>
        <v>9.5137794529848481E+121</v>
      </c>
      <c r="MPJ53" s="760">
        <f t="shared" si="179"/>
        <v>9.7991928365743933E+121</v>
      </c>
      <c r="MPK53" s="760">
        <f t="shared" si="179"/>
        <v>1.0093168621671626E+122</v>
      </c>
      <c r="MPL53" s="760">
        <f t="shared" si="179"/>
        <v>1.0395963680321776E+122</v>
      </c>
      <c r="MPM53" s="760">
        <f t="shared" si="179"/>
        <v>1.0707842590731429E+122</v>
      </c>
      <c r="MPN53" s="760">
        <f t="shared" si="179"/>
        <v>1.1029077868453372E+122</v>
      </c>
      <c r="MPO53" s="760">
        <f t="shared" si="179"/>
        <v>1.1359950204506973E+122</v>
      </c>
      <c r="MPP53" s="760">
        <f t="shared" si="179"/>
        <v>1.1700748710642182E+122</v>
      </c>
      <c r="MPQ53" s="760">
        <f t="shared" si="179"/>
        <v>1.2051771171961449E+122</v>
      </c>
      <c r="MPR53" s="760">
        <f t="shared" si="179"/>
        <v>1.2413324307120293E+122</v>
      </c>
      <c r="MPS53" s="760">
        <f t="shared" ref="MPS53:MSD53" si="180">+MPR53*$C$53</f>
        <v>1.2785724036333903E+122</v>
      </c>
      <c r="MPT53" s="760">
        <f t="shared" si="180"/>
        <v>1.316929575742392E+122</v>
      </c>
      <c r="MPU53" s="760">
        <f t="shared" si="180"/>
        <v>1.3564374630146638E+122</v>
      </c>
      <c r="MPV53" s="760">
        <f t="shared" si="180"/>
        <v>1.3971305869051037E+122</v>
      </c>
      <c r="MPW53" s="760">
        <f t="shared" si="180"/>
        <v>1.4390445045122569E+122</v>
      </c>
      <c r="MPX53" s="760">
        <f t="shared" si="180"/>
        <v>1.4822158396476247E+122</v>
      </c>
      <c r="MPY53" s="760">
        <f t="shared" si="180"/>
        <v>1.5266823148370534E+122</v>
      </c>
      <c r="MPZ53" s="760">
        <f t="shared" si="180"/>
        <v>1.572482784282165E+122</v>
      </c>
      <c r="MQA53" s="760">
        <f t="shared" si="180"/>
        <v>1.6196572678106299E+122</v>
      </c>
      <c r="MQB53" s="760">
        <f t="shared" si="180"/>
        <v>1.6682469858449487E+122</v>
      </c>
      <c r="MQC53" s="760">
        <f t="shared" si="180"/>
        <v>1.7182943954202972E+122</v>
      </c>
      <c r="MQD53" s="760">
        <f t="shared" si="180"/>
        <v>1.7698432272829063E+122</v>
      </c>
      <c r="MQE53" s="760">
        <f t="shared" si="180"/>
        <v>1.8229385241013935E+122</v>
      </c>
      <c r="MQF53" s="760">
        <f t="shared" si="180"/>
        <v>1.8776266798244352E+122</v>
      </c>
      <c r="MQG53" s="760">
        <f t="shared" si="180"/>
        <v>1.9339554802191685E+122</v>
      </c>
      <c r="MQH53" s="760">
        <f t="shared" si="180"/>
        <v>1.9919741446257437E+122</v>
      </c>
      <c r="MQI53" s="760">
        <f t="shared" si="180"/>
        <v>2.0517333689645159E+122</v>
      </c>
      <c r="MQJ53" s="760">
        <f t="shared" si="180"/>
        <v>2.1132853700334513E+122</v>
      </c>
      <c r="MQK53" s="760">
        <f t="shared" si="180"/>
        <v>2.176683931134455E+122</v>
      </c>
      <c r="MQL53" s="760">
        <f t="shared" si="180"/>
        <v>2.2419844490684885E+122</v>
      </c>
      <c r="MQM53" s="760">
        <f t="shared" si="180"/>
        <v>2.3092439825405431E+122</v>
      </c>
      <c r="MQN53" s="760">
        <f t="shared" si="180"/>
        <v>2.3785213020167594E+122</v>
      </c>
      <c r="MQO53" s="760">
        <f t="shared" si="180"/>
        <v>2.4498769410772622E+122</v>
      </c>
      <c r="MQP53" s="760">
        <f t="shared" si="180"/>
        <v>2.5233732493095801E+122</v>
      </c>
      <c r="MQQ53" s="760">
        <f t="shared" si="180"/>
        <v>2.5990744467888677E+122</v>
      </c>
      <c r="MQR53" s="760">
        <f t="shared" si="180"/>
        <v>2.6770466801925336E+122</v>
      </c>
      <c r="MQS53" s="760">
        <f t="shared" si="180"/>
        <v>2.7573580805983098E+122</v>
      </c>
      <c r="MQT53" s="760">
        <f t="shared" si="180"/>
        <v>2.8400788230162593E+122</v>
      </c>
      <c r="MQU53" s="760">
        <f t="shared" si="180"/>
        <v>2.925281187706747E+122</v>
      </c>
      <c r="MQV53" s="760">
        <f t="shared" si="180"/>
        <v>3.0130396233379493E+122</v>
      </c>
      <c r="MQW53" s="760">
        <f t="shared" si="180"/>
        <v>3.103430812038088E+122</v>
      </c>
      <c r="MQX53" s="760">
        <f t="shared" si="180"/>
        <v>3.1965337363992308E+122</v>
      </c>
      <c r="MQY53" s="760">
        <f t="shared" si="180"/>
        <v>3.2924297484912076E+122</v>
      </c>
      <c r="MQZ53" s="760">
        <f t="shared" si="180"/>
        <v>3.3912026409459439E+122</v>
      </c>
      <c r="MRA53" s="760">
        <f t="shared" si="180"/>
        <v>3.4929387201743221E+122</v>
      </c>
      <c r="MRB53" s="760">
        <f t="shared" si="180"/>
        <v>3.597726881779552E+122</v>
      </c>
      <c r="MRC53" s="760">
        <f t="shared" si="180"/>
        <v>3.7056586882329387E+122</v>
      </c>
      <c r="MRD53" s="760">
        <f t="shared" si="180"/>
        <v>3.8168284488799268E+122</v>
      </c>
      <c r="MRE53" s="760">
        <f t="shared" si="180"/>
        <v>3.9313333023463248E+122</v>
      </c>
      <c r="MRF53" s="760">
        <f t="shared" si="180"/>
        <v>4.0492733014167147E+122</v>
      </c>
      <c r="MRG53" s="760">
        <f t="shared" si="180"/>
        <v>4.170751500459216E+122</v>
      </c>
      <c r="MRH53" s="760">
        <f t="shared" si="180"/>
        <v>4.2958740454729924E+122</v>
      </c>
      <c r="MRI53" s="760">
        <f t="shared" si="180"/>
        <v>4.4247502668371825E+122</v>
      </c>
      <c r="MRJ53" s="760">
        <f t="shared" si="180"/>
        <v>4.5574927748422984E+122</v>
      </c>
      <c r="MRK53" s="760">
        <f t="shared" si="180"/>
        <v>4.6942175580875674E+122</v>
      </c>
      <c r="MRL53" s="760">
        <f t="shared" si="180"/>
        <v>4.8350440848301947E+122</v>
      </c>
      <c r="MRM53" s="760">
        <f t="shared" si="180"/>
        <v>4.9800954073751006E+122</v>
      </c>
      <c r="MRN53" s="760">
        <f t="shared" si="180"/>
        <v>5.1294982695963534E+122</v>
      </c>
      <c r="MRO53" s="760">
        <f t="shared" si="180"/>
        <v>5.2833832176842442E+122</v>
      </c>
      <c r="MRP53" s="760">
        <f t="shared" si="180"/>
        <v>5.4418847142147719E+122</v>
      </c>
      <c r="MRQ53" s="760">
        <f t="shared" si="180"/>
        <v>5.6051412556412151E+122</v>
      </c>
      <c r="MRR53" s="760">
        <f t="shared" si="180"/>
        <v>5.7732954933104513E+122</v>
      </c>
      <c r="MRS53" s="760">
        <f t="shared" si="180"/>
        <v>5.9464943581097648E+122</v>
      </c>
      <c r="MRT53" s="760">
        <f t="shared" si="180"/>
        <v>6.124889188853058E+122</v>
      </c>
      <c r="MRU53" s="760">
        <f t="shared" si="180"/>
        <v>6.30863586451865E+122</v>
      </c>
      <c r="MRV53" s="760">
        <f t="shared" si="180"/>
        <v>6.4978949404542095E+122</v>
      </c>
      <c r="MRW53" s="760">
        <f t="shared" si="180"/>
        <v>6.6928317886678356E+122</v>
      </c>
      <c r="MRX53" s="760">
        <f t="shared" si="180"/>
        <v>6.8936167423278702E+122</v>
      </c>
      <c r="MRY53" s="760">
        <f t="shared" si="180"/>
        <v>7.1004252445977071E+122</v>
      </c>
      <c r="MRZ53" s="760">
        <f t="shared" si="180"/>
        <v>7.3134380019356383E+122</v>
      </c>
      <c r="MSA53" s="760">
        <f t="shared" si="180"/>
        <v>7.5328411419937079E+122</v>
      </c>
      <c r="MSB53" s="760">
        <f t="shared" si="180"/>
        <v>7.7588263762535196E+122</v>
      </c>
      <c r="MSC53" s="760">
        <f t="shared" si="180"/>
        <v>7.9915911675411258E+122</v>
      </c>
      <c r="MSD53" s="760">
        <f t="shared" si="180"/>
        <v>8.2313389025673596E+122</v>
      </c>
      <c r="MSE53" s="760">
        <f t="shared" ref="MSE53:MUP53" si="181">+MSD53*$C$53</f>
        <v>8.4782790696443801E+122</v>
      </c>
      <c r="MSF53" s="760">
        <f t="shared" si="181"/>
        <v>8.7326274417337119E+122</v>
      </c>
      <c r="MSG53" s="760">
        <f t="shared" si="181"/>
        <v>8.9946062649857229E+122</v>
      </c>
      <c r="MSH53" s="760">
        <f t="shared" si="181"/>
        <v>9.2644444529352951E+122</v>
      </c>
      <c r="MSI53" s="760">
        <f t="shared" si="181"/>
        <v>9.5423777865233542E+122</v>
      </c>
      <c r="MSJ53" s="760">
        <f t="shared" si="181"/>
        <v>9.8286491201190546E+122</v>
      </c>
      <c r="MSK53" s="760">
        <f t="shared" si="181"/>
        <v>1.0123508593722626E+123</v>
      </c>
      <c r="MSL53" s="760">
        <f t="shared" si="181"/>
        <v>1.0427213851534305E+123</v>
      </c>
      <c r="MSM53" s="760">
        <f t="shared" si="181"/>
        <v>1.0740030267080334E+123</v>
      </c>
      <c r="MSN53" s="760">
        <f t="shared" si="181"/>
        <v>1.1062231175092745E+123</v>
      </c>
      <c r="MSO53" s="760">
        <f t="shared" si="181"/>
        <v>1.1394098110345527E+123</v>
      </c>
      <c r="MSP53" s="760">
        <f t="shared" si="181"/>
        <v>1.1735921053655892E+123</v>
      </c>
      <c r="MSQ53" s="760">
        <f t="shared" si="181"/>
        <v>1.2087998685265569E+123</v>
      </c>
      <c r="MSR53" s="760">
        <f t="shared" si="181"/>
        <v>1.2450638645823536E+123</v>
      </c>
      <c r="MSS53" s="760">
        <f t="shared" si="181"/>
        <v>1.2824157805198243E+123</v>
      </c>
      <c r="MST53" s="760">
        <f t="shared" si="181"/>
        <v>1.3208882539354191E+123</v>
      </c>
      <c r="MSU53" s="760">
        <f t="shared" si="181"/>
        <v>1.3605149015534816E+123</v>
      </c>
      <c r="MSV53" s="760">
        <f t="shared" si="181"/>
        <v>1.4013303486000861E+123</v>
      </c>
      <c r="MSW53" s="760">
        <f t="shared" si="181"/>
        <v>1.4433702590580887E+123</v>
      </c>
      <c r="MSX53" s="760">
        <f t="shared" si="181"/>
        <v>1.4866713668298314E+123</v>
      </c>
      <c r="MSY53" s="760">
        <f t="shared" si="181"/>
        <v>1.5312715078347264E+123</v>
      </c>
      <c r="MSZ53" s="760">
        <f t="shared" si="181"/>
        <v>1.5772096530697682E+123</v>
      </c>
      <c r="MTA53" s="760">
        <f t="shared" si="181"/>
        <v>1.6245259426618612E+123</v>
      </c>
      <c r="MTB53" s="760">
        <f t="shared" si="181"/>
        <v>1.673261720941717E+123</v>
      </c>
      <c r="MTC53" s="760">
        <f t="shared" si="181"/>
        <v>1.7234595725699685E+123</v>
      </c>
      <c r="MTD53" s="760">
        <f t="shared" si="181"/>
        <v>1.7751633597470675E+123</v>
      </c>
      <c r="MTE53" s="760">
        <f t="shared" si="181"/>
        <v>1.8284182605394796E+123</v>
      </c>
      <c r="MTF53" s="760">
        <f t="shared" si="181"/>
        <v>1.883270808355664E+123</v>
      </c>
      <c r="MTG53" s="760">
        <f t="shared" si="181"/>
        <v>1.9397689326063341E+123</v>
      </c>
      <c r="MTH53" s="760">
        <f t="shared" si="181"/>
        <v>1.9979620005845241E+123</v>
      </c>
      <c r="MTI53" s="760">
        <f t="shared" si="181"/>
        <v>2.0579008606020599E+123</v>
      </c>
      <c r="MTJ53" s="760">
        <f t="shared" si="181"/>
        <v>2.1196378864201217E+123</v>
      </c>
      <c r="MTK53" s="760">
        <f t="shared" si="181"/>
        <v>2.1832270230127253E+123</v>
      </c>
      <c r="MTL53" s="760">
        <f t="shared" si="181"/>
        <v>2.2487238337031072E+123</v>
      </c>
      <c r="MTM53" s="760">
        <f t="shared" si="181"/>
        <v>2.3161855487142004E+123</v>
      </c>
      <c r="MTN53" s="760">
        <f t="shared" si="181"/>
        <v>2.3856711151756266E+123</v>
      </c>
      <c r="MTO53" s="760">
        <f t="shared" si="181"/>
        <v>2.4572412486308955E+123</v>
      </c>
      <c r="MTP53" s="760">
        <f t="shared" si="181"/>
        <v>2.5309584860898223E+123</v>
      </c>
      <c r="MTQ53" s="760">
        <f t="shared" si="181"/>
        <v>2.606887240672517E+123</v>
      </c>
      <c r="MTR53" s="760">
        <f t="shared" si="181"/>
        <v>2.6850938578926926E+123</v>
      </c>
      <c r="MTS53" s="760">
        <f t="shared" si="181"/>
        <v>2.7656466736294736E+123</v>
      </c>
      <c r="MTT53" s="760">
        <f t="shared" si="181"/>
        <v>2.8486160738383577E+123</v>
      </c>
      <c r="MTU53" s="760">
        <f t="shared" si="181"/>
        <v>2.9340745560535084E+123</v>
      </c>
      <c r="MTV53" s="760">
        <f t="shared" si="181"/>
        <v>3.0220967927351137E+123</v>
      </c>
      <c r="MTW53" s="760">
        <f t="shared" si="181"/>
        <v>3.1127596965171673E+123</v>
      </c>
      <c r="MTX53" s="760">
        <f t="shared" si="181"/>
        <v>3.2061424874126825E+123</v>
      </c>
      <c r="MTY53" s="760">
        <f t="shared" si="181"/>
        <v>3.3023267620350633E+123</v>
      </c>
      <c r="MTZ53" s="760">
        <f t="shared" si="181"/>
        <v>3.4013965648961155E+123</v>
      </c>
      <c r="MUA53" s="760">
        <f t="shared" si="181"/>
        <v>3.503438461842999E+123</v>
      </c>
      <c r="MUB53" s="760">
        <f t="shared" si="181"/>
        <v>3.6085416156982889E+123</v>
      </c>
      <c r="MUC53" s="760">
        <f t="shared" si="181"/>
        <v>3.7167978641692374E+123</v>
      </c>
      <c r="MUD53" s="760">
        <f t="shared" si="181"/>
        <v>3.8283018000943144E+123</v>
      </c>
      <c r="MUE53" s="760">
        <f t="shared" si="181"/>
        <v>3.9431508540971439E+123</v>
      </c>
      <c r="MUF53" s="760">
        <f t="shared" si="181"/>
        <v>4.0614453797200583E+123</v>
      </c>
      <c r="MUG53" s="760">
        <f t="shared" si="181"/>
        <v>4.1832887411116601E+123</v>
      </c>
      <c r="MUH53" s="760">
        <f t="shared" si="181"/>
        <v>4.3087874033450102E+123</v>
      </c>
      <c r="MUI53" s="760">
        <f t="shared" si="181"/>
        <v>4.4380510254453608E+123</v>
      </c>
      <c r="MUJ53" s="760">
        <f t="shared" si="181"/>
        <v>4.5711925562087215E+123</v>
      </c>
      <c r="MUK53" s="760">
        <f t="shared" si="181"/>
        <v>4.708328332894983E+123</v>
      </c>
      <c r="MUL53" s="760">
        <f t="shared" si="181"/>
        <v>4.8495781828818329E+123</v>
      </c>
      <c r="MUM53" s="760">
        <f t="shared" si="181"/>
        <v>4.9950655283682881E+123</v>
      </c>
      <c r="MUN53" s="760">
        <f t="shared" si="181"/>
        <v>5.1449174942193367E+123</v>
      </c>
      <c r="MUO53" s="760">
        <f t="shared" si="181"/>
        <v>5.2992650190459164E+123</v>
      </c>
      <c r="MUP53" s="760">
        <f t="shared" si="181"/>
        <v>5.4582429696172936E+123</v>
      </c>
      <c r="MUQ53" s="760">
        <f t="shared" ref="MUQ53:MXB53" si="182">+MUP53*$C$53</f>
        <v>5.6219902587058129E+123</v>
      </c>
      <c r="MUR53" s="760">
        <f t="shared" si="182"/>
        <v>5.7906499664669869E+123</v>
      </c>
      <c r="MUS53" s="760">
        <f t="shared" si="182"/>
        <v>5.9643694654609967E+123</v>
      </c>
      <c r="MUT53" s="760">
        <f t="shared" si="182"/>
        <v>6.1433005494248268E+123</v>
      </c>
      <c r="MUU53" s="760">
        <f t="shared" si="182"/>
        <v>6.3275995659075722E+123</v>
      </c>
      <c r="MUV53" s="760">
        <f t="shared" si="182"/>
        <v>6.5174275528847997E+123</v>
      </c>
      <c r="MUW53" s="760">
        <f t="shared" si="182"/>
        <v>6.7129503794713443E+123</v>
      </c>
      <c r="MUX53" s="760">
        <f t="shared" si="182"/>
        <v>6.9143388908554849E+123</v>
      </c>
      <c r="MUY53" s="760">
        <f t="shared" si="182"/>
        <v>7.1217690575811496E+123</v>
      </c>
      <c r="MUZ53" s="760">
        <f t="shared" si="182"/>
        <v>7.3354221293085848E+123</v>
      </c>
      <c r="MVA53" s="760">
        <f t="shared" si="182"/>
        <v>7.5554847931878421E+123</v>
      </c>
      <c r="MVB53" s="760">
        <f t="shared" si="182"/>
        <v>7.7821493369834777E+123</v>
      </c>
      <c r="MVC53" s="760">
        <f t="shared" si="182"/>
        <v>8.0156138170929818E+123</v>
      </c>
      <c r="MVD53" s="760">
        <f t="shared" si="182"/>
        <v>8.2560822316057711E+123</v>
      </c>
      <c r="MVE53" s="760">
        <f t="shared" si="182"/>
        <v>8.5037646985539448E+123</v>
      </c>
      <c r="MVF53" s="760">
        <f t="shared" si="182"/>
        <v>8.7588776395105628E+123</v>
      </c>
      <c r="MVG53" s="760">
        <f t="shared" si="182"/>
        <v>9.0216439686958795E+123</v>
      </c>
      <c r="MVH53" s="760">
        <f t="shared" si="182"/>
        <v>9.2922932877567561E+123</v>
      </c>
      <c r="MVI53" s="760">
        <f t="shared" si="182"/>
        <v>9.5710620863894595E+123</v>
      </c>
      <c r="MVJ53" s="760">
        <f t="shared" si="182"/>
        <v>9.8581939489811437E+123</v>
      </c>
      <c r="MVK53" s="760">
        <f t="shared" si="182"/>
        <v>1.0153939767450579E+124</v>
      </c>
      <c r="MVL53" s="760">
        <f t="shared" si="182"/>
        <v>1.0458557960474096E+124</v>
      </c>
      <c r="MVM53" s="760">
        <f t="shared" si="182"/>
        <v>1.0772314699288319E+124</v>
      </c>
      <c r="MVN53" s="760">
        <f t="shared" si="182"/>
        <v>1.109548414026697E+124</v>
      </c>
      <c r="MVO53" s="760">
        <f t="shared" si="182"/>
        <v>1.1428348664474978E+124</v>
      </c>
      <c r="MVP53" s="760">
        <f t="shared" si="182"/>
        <v>1.1771199124409228E+124</v>
      </c>
      <c r="MVQ53" s="760">
        <f t="shared" si="182"/>
        <v>1.2124335098141505E+124</v>
      </c>
      <c r="MVR53" s="760">
        <f t="shared" si="182"/>
        <v>1.2488065151085752E+124</v>
      </c>
      <c r="MVS53" s="760">
        <f t="shared" si="182"/>
        <v>1.2862707105618323E+124</v>
      </c>
      <c r="MVT53" s="760">
        <f t="shared" si="182"/>
        <v>1.3248588318786873E+124</v>
      </c>
      <c r="MVU53" s="760">
        <f t="shared" si="182"/>
        <v>1.364604596835048E+124</v>
      </c>
      <c r="MVV53" s="760">
        <f t="shared" si="182"/>
        <v>1.4055427347400996E+124</v>
      </c>
      <c r="MVW53" s="760">
        <f t="shared" si="182"/>
        <v>1.4477090167823025E+124</v>
      </c>
      <c r="MVX53" s="760">
        <f t="shared" si="182"/>
        <v>1.4911402872857716E+124</v>
      </c>
      <c r="MVY53" s="760">
        <f t="shared" si="182"/>
        <v>1.5358744959043448E+124</v>
      </c>
      <c r="MVZ53" s="760">
        <f t="shared" si="182"/>
        <v>1.5819507307814751E+124</v>
      </c>
      <c r="MWA53" s="760">
        <f t="shared" si="182"/>
        <v>1.6294092527049194E+124</v>
      </c>
      <c r="MWB53" s="760">
        <f t="shared" si="182"/>
        <v>1.6782915302860669E+124</v>
      </c>
      <c r="MWC53" s="760">
        <f t="shared" si="182"/>
        <v>1.728640276194649E+124</v>
      </c>
      <c r="MWD53" s="760">
        <f t="shared" si="182"/>
        <v>1.7804994844804886E+124</v>
      </c>
      <c r="MWE53" s="760">
        <f t="shared" si="182"/>
        <v>1.8339144690149032E+124</v>
      </c>
      <c r="MWF53" s="760">
        <f t="shared" si="182"/>
        <v>1.8889319030853503E+124</v>
      </c>
      <c r="MWG53" s="760">
        <f t="shared" si="182"/>
        <v>1.9455998601779109E+124</v>
      </c>
      <c r="MWH53" s="760">
        <f t="shared" si="182"/>
        <v>2.0039678559832484E+124</v>
      </c>
      <c r="MWI53" s="760">
        <f t="shared" si="182"/>
        <v>2.0640868916627457E+124</v>
      </c>
      <c r="MWJ53" s="760">
        <f t="shared" si="182"/>
        <v>2.1260094984126284E+124</v>
      </c>
      <c r="MWK53" s="760">
        <f t="shared" si="182"/>
        <v>2.1897897833650074E+124</v>
      </c>
      <c r="MWL53" s="760">
        <f t="shared" si="182"/>
        <v>2.2554834768659575E+124</v>
      </c>
      <c r="MWM53" s="760">
        <f t="shared" si="182"/>
        <v>2.3231479811719362E+124</v>
      </c>
      <c r="MWN53" s="760">
        <f t="shared" si="182"/>
        <v>2.3928424206070945E+124</v>
      </c>
      <c r="MWO53" s="760">
        <f t="shared" si="182"/>
        <v>2.4646276932253075E+124</v>
      </c>
      <c r="MWP53" s="760">
        <f t="shared" si="182"/>
        <v>2.5385665240220666E+124</v>
      </c>
      <c r="MWQ53" s="760">
        <f t="shared" si="182"/>
        <v>2.6147235197427287E+124</v>
      </c>
      <c r="MWR53" s="760">
        <f t="shared" si="182"/>
        <v>2.6931652253350109E+124</v>
      </c>
      <c r="MWS53" s="760">
        <f t="shared" si="182"/>
        <v>2.7739601820950613E+124</v>
      </c>
      <c r="MWT53" s="760">
        <f t="shared" si="182"/>
        <v>2.8571789875579132E+124</v>
      </c>
      <c r="MWU53" s="760">
        <f t="shared" si="182"/>
        <v>2.9428943571846505E+124</v>
      </c>
      <c r="MWV53" s="760">
        <f t="shared" si="182"/>
        <v>3.0311811879001902E+124</v>
      </c>
      <c r="MWW53" s="760">
        <f t="shared" si="182"/>
        <v>3.1221166235371958E+124</v>
      </c>
      <c r="MWX53" s="760">
        <f t="shared" si="182"/>
        <v>3.215780122243312E+124</v>
      </c>
      <c r="MWY53" s="760">
        <f t="shared" si="182"/>
        <v>3.3122535259106114E+124</v>
      </c>
      <c r="MWZ53" s="760">
        <f t="shared" si="182"/>
        <v>3.4116211316879299E+124</v>
      </c>
      <c r="MXA53" s="760">
        <f t="shared" si="182"/>
        <v>3.513969765638568E+124</v>
      </c>
      <c r="MXB53" s="760">
        <f t="shared" si="182"/>
        <v>3.619388858607725E+124</v>
      </c>
      <c r="MXC53" s="760">
        <f t="shared" ref="MXC53:MZN53" si="183">+MXB53*$C$53</f>
        <v>3.727970524365957E+124</v>
      </c>
      <c r="MXD53" s="760">
        <f t="shared" si="183"/>
        <v>3.8398096400969359E+124</v>
      </c>
      <c r="MXE53" s="760">
        <f t="shared" si="183"/>
        <v>3.9550039292998442E+124</v>
      </c>
      <c r="MXF53" s="760">
        <f t="shared" si="183"/>
        <v>4.0736540471788397E+124</v>
      </c>
      <c r="MXG53" s="760">
        <f t="shared" si="183"/>
        <v>4.1958636685942051E+124</v>
      </c>
      <c r="MXH53" s="760">
        <f t="shared" si="183"/>
        <v>4.3217395786520313E+124</v>
      </c>
      <c r="MXI53" s="760">
        <f t="shared" si="183"/>
        <v>4.4513917660115925E+124</v>
      </c>
      <c r="MXJ53" s="760">
        <f t="shared" si="183"/>
        <v>4.5849335189919409E+124</v>
      </c>
      <c r="MXK53" s="760">
        <f t="shared" si="183"/>
        <v>4.7224815245616991E+124</v>
      </c>
      <c r="MXL53" s="760">
        <f t="shared" si="183"/>
        <v>4.8641559702985497E+124</v>
      </c>
      <c r="MXM53" s="760">
        <f t="shared" si="183"/>
        <v>5.010080649407506E+124</v>
      </c>
      <c r="MXN53" s="760">
        <f t="shared" si="183"/>
        <v>5.1603830688897317E+124</v>
      </c>
      <c r="MXO53" s="760">
        <f t="shared" si="183"/>
        <v>5.315194560956424E+124</v>
      </c>
      <c r="MXP53" s="760">
        <f t="shared" si="183"/>
        <v>5.4746503977851171E+124</v>
      </c>
      <c r="MXQ53" s="760">
        <f t="shared" si="183"/>
        <v>5.638889909718671E+124</v>
      </c>
      <c r="MXR53" s="760">
        <f t="shared" si="183"/>
        <v>5.8080566070102315E+124</v>
      </c>
      <c r="MXS53" s="760">
        <f t="shared" si="183"/>
        <v>5.9822983052205387E+124</v>
      </c>
      <c r="MXT53" s="760">
        <f t="shared" si="183"/>
        <v>6.1617672543771548E+124</v>
      </c>
      <c r="MXU53" s="760">
        <f t="shared" si="183"/>
        <v>6.3466202720084693E+124</v>
      </c>
      <c r="MXV53" s="760">
        <f t="shared" si="183"/>
        <v>6.5370188801687239E+124</v>
      </c>
      <c r="MXW53" s="760">
        <f t="shared" si="183"/>
        <v>6.7331294465737855E+124</v>
      </c>
      <c r="MXX53" s="760">
        <f t="shared" si="183"/>
        <v>6.9351233299709989E+124</v>
      </c>
      <c r="MXY53" s="760">
        <f t="shared" si="183"/>
        <v>7.1431770298701291E+124</v>
      </c>
      <c r="MXZ53" s="760">
        <f t="shared" si="183"/>
        <v>7.3574723407662331E+124</v>
      </c>
      <c r="MYA53" s="760">
        <f t="shared" si="183"/>
        <v>7.5781965109892207E+124</v>
      </c>
      <c r="MYB53" s="760">
        <f t="shared" si="183"/>
        <v>7.8055424063188974E+124</v>
      </c>
      <c r="MYC53" s="760">
        <f t="shared" si="183"/>
        <v>8.0397086785084649E+124</v>
      </c>
      <c r="MYD53" s="760">
        <f t="shared" si="183"/>
        <v>8.2808999388637195E+124</v>
      </c>
      <c r="MYE53" s="760">
        <f t="shared" si="183"/>
        <v>8.5293269370296306E+124</v>
      </c>
      <c r="MYF53" s="760">
        <f t="shared" si="183"/>
        <v>8.7852067451405202E+124</v>
      </c>
      <c r="MYG53" s="760">
        <f t="shared" si="183"/>
        <v>9.0487629474947359E+124</v>
      </c>
      <c r="MYH53" s="760">
        <f t="shared" si="183"/>
        <v>9.3202258359195782E+124</v>
      </c>
      <c r="MYI53" s="760">
        <f t="shared" si="183"/>
        <v>9.5998326109971658E+124</v>
      </c>
      <c r="MYJ53" s="760">
        <f t="shared" si="183"/>
        <v>9.8878275893270818E+124</v>
      </c>
      <c r="MYK53" s="760">
        <f t="shared" si="183"/>
        <v>1.0184462417006895E+125</v>
      </c>
      <c r="MYL53" s="760">
        <f t="shared" si="183"/>
        <v>1.0489996289517102E+125</v>
      </c>
      <c r="MYM53" s="760">
        <f t="shared" si="183"/>
        <v>1.0804696178202616E+125</v>
      </c>
      <c r="MYN53" s="760">
        <f t="shared" si="183"/>
        <v>1.1128837063548694E+125</v>
      </c>
      <c r="MYO53" s="760">
        <f t="shared" si="183"/>
        <v>1.1462702175455155E+125</v>
      </c>
      <c r="MYP53" s="760">
        <f t="shared" si="183"/>
        <v>1.180658324071881E+125</v>
      </c>
      <c r="MYQ53" s="760">
        <f t="shared" si="183"/>
        <v>1.2160780737940375E+125</v>
      </c>
      <c r="MYR53" s="760">
        <f t="shared" si="183"/>
        <v>1.2525604160078587E+125</v>
      </c>
      <c r="MYS53" s="760">
        <f t="shared" si="183"/>
        <v>1.2901372284880944E+125</v>
      </c>
      <c r="MYT53" s="760">
        <f t="shared" si="183"/>
        <v>1.3288413453427373E+125</v>
      </c>
      <c r="MYU53" s="760">
        <f t="shared" si="183"/>
        <v>1.3687065857030195E+125</v>
      </c>
      <c r="MYV53" s="760">
        <f t="shared" si="183"/>
        <v>1.4097677832741101E+125</v>
      </c>
      <c r="MYW53" s="760">
        <f t="shared" si="183"/>
        <v>1.4520608167723335E+125</v>
      </c>
      <c r="MYX53" s="760">
        <f t="shared" si="183"/>
        <v>1.4956226412755034E+125</v>
      </c>
      <c r="MYY53" s="760">
        <f t="shared" si="183"/>
        <v>1.5404913205137687E+125</v>
      </c>
      <c r="MYZ53" s="760">
        <f t="shared" si="183"/>
        <v>1.5867060601291817E+125</v>
      </c>
      <c r="MZA53" s="760">
        <f t="shared" si="183"/>
        <v>1.6343072419330572E+125</v>
      </c>
      <c r="MZB53" s="760">
        <f t="shared" si="183"/>
        <v>1.6833364591910489E+125</v>
      </c>
      <c r="MZC53" s="760">
        <f t="shared" si="183"/>
        <v>1.7338365529667803E+125</v>
      </c>
      <c r="MZD53" s="760">
        <f t="shared" si="183"/>
        <v>1.7858516495557837E+125</v>
      </c>
      <c r="MZE53" s="760">
        <f t="shared" si="183"/>
        <v>1.8394271990424573E+125</v>
      </c>
      <c r="MZF53" s="760">
        <f t="shared" si="183"/>
        <v>1.8946100150137313E+125</v>
      </c>
      <c r="MZG53" s="760">
        <f t="shared" si="183"/>
        <v>1.9514483154641432E+125</v>
      </c>
      <c r="MZH53" s="760">
        <f t="shared" si="183"/>
        <v>2.0099917649280674E+125</v>
      </c>
      <c r="MZI53" s="760">
        <f t="shared" si="183"/>
        <v>2.0702915178759095E+125</v>
      </c>
      <c r="MZJ53" s="760">
        <f t="shared" si="183"/>
        <v>2.132400263412187E+125</v>
      </c>
      <c r="MZK53" s="760">
        <f t="shared" si="183"/>
        <v>2.1963722713145526E+125</v>
      </c>
      <c r="MZL53" s="760">
        <f t="shared" si="183"/>
        <v>2.2622634394539892E+125</v>
      </c>
      <c r="MZM53" s="760">
        <f t="shared" si="183"/>
        <v>2.330131342637609E+125</v>
      </c>
      <c r="MZN53" s="760">
        <f t="shared" si="183"/>
        <v>2.4000352829167372E+125</v>
      </c>
      <c r="MZO53" s="760">
        <f t="shared" ref="MZO53:NBZ53" si="184">+MZN53*$C$53</f>
        <v>2.4720363414042394E+125</v>
      </c>
      <c r="MZP53" s="760">
        <f t="shared" si="184"/>
        <v>2.5461974316463667E+125</v>
      </c>
      <c r="MZQ53" s="760">
        <f t="shared" si="184"/>
        <v>2.6225833545957578E+125</v>
      </c>
      <c r="MZR53" s="760">
        <f t="shared" si="184"/>
        <v>2.7012608552336307E+125</v>
      </c>
      <c r="MZS53" s="760">
        <f t="shared" si="184"/>
        <v>2.7822986808906397E+125</v>
      </c>
      <c r="MZT53" s="760">
        <f t="shared" si="184"/>
        <v>2.8657676413173589E+125</v>
      </c>
      <c r="MZU53" s="760">
        <f t="shared" si="184"/>
        <v>2.9517406705568797E+125</v>
      </c>
      <c r="MZV53" s="760">
        <f t="shared" si="184"/>
        <v>3.0402928906735861E+125</v>
      </c>
      <c r="MZW53" s="760">
        <f t="shared" si="184"/>
        <v>3.1315016773937939E+125</v>
      </c>
      <c r="MZX53" s="760">
        <f t="shared" si="184"/>
        <v>3.2254467277156079E+125</v>
      </c>
      <c r="MZY53" s="760">
        <f t="shared" si="184"/>
        <v>3.3222101295470762E+125</v>
      </c>
      <c r="MZZ53" s="760">
        <f t="shared" si="184"/>
        <v>3.4218764334334886E+125</v>
      </c>
      <c r="NAA53" s="760">
        <f t="shared" si="184"/>
        <v>3.524532726436493E+125</v>
      </c>
      <c r="NAB53" s="760">
        <f t="shared" si="184"/>
        <v>3.6302687082295881E+125</v>
      </c>
      <c r="NAC53" s="760">
        <f t="shared" si="184"/>
        <v>3.739176769476476E+125</v>
      </c>
      <c r="NAD53" s="760">
        <f t="shared" si="184"/>
        <v>3.8513520725607702E+125</v>
      </c>
      <c r="NAE53" s="760">
        <f t="shared" si="184"/>
        <v>3.9668926347375931E+125</v>
      </c>
      <c r="NAF53" s="760">
        <f t="shared" si="184"/>
        <v>4.0858994137797214E+125</v>
      </c>
      <c r="NAG53" s="760">
        <f t="shared" si="184"/>
        <v>4.2084763961931129E+125</v>
      </c>
      <c r="NAH53" s="760">
        <f t="shared" si="184"/>
        <v>4.3347306880789061E+125</v>
      </c>
      <c r="NAI53" s="760">
        <f t="shared" si="184"/>
        <v>4.4647726087212733E+125</v>
      </c>
      <c r="NAJ53" s="760">
        <f t="shared" si="184"/>
        <v>4.5987157869829112E+125</v>
      </c>
      <c r="NAK53" s="760">
        <f t="shared" si="184"/>
        <v>4.7366772605923988E+125</v>
      </c>
      <c r="NAL53" s="760">
        <f t="shared" si="184"/>
        <v>4.8787775784101706E+125</v>
      </c>
      <c r="NAM53" s="760">
        <f t="shared" si="184"/>
        <v>5.0251409057624761E+125</v>
      </c>
      <c r="NAN53" s="760">
        <f t="shared" si="184"/>
        <v>5.1758951329353505E+125</v>
      </c>
      <c r="NAO53" s="760">
        <f t="shared" si="184"/>
        <v>5.3311719869234111E+125</v>
      </c>
      <c r="NAP53" s="760">
        <f t="shared" si="184"/>
        <v>5.4911071465311132E+125</v>
      </c>
      <c r="NAQ53" s="760">
        <f t="shared" si="184"/>
        <v>5.6558403609270468E+125</v>
      </c>
      <c r="NAR53" s="760">
        <f t="shared" si="184"/>
        <v>5.8255155717548583E+125</v>
      </c>
      <c r="NAS53" s="760">
        <f t="shared" si="184"/>
        <v>6.0002810389075043E+125</v>
      </c>
      <c r="NAT53" s="760">
        <f t="shared" si="184"/>
        <v>6.18028947007473E+125</v>
      </c>
      <c r="NAU53" s="760">
        <f t="shared" si="184"/>
        <v>6.3656981541769724E+125</v>
      </c>
      <c r="NAV53" s="760">
        <f t="shared" si="184"/>
        <v>6.556669098802282E+125</v>
      </c>
      <c r="NAW53" s="760">
        <f t="shared" si="184"/>
        <v>6.7533691717663505E+125</v>
      </c>
      <c r="NAX53" s="760">
        <f t="shared" si="184"/>
        <v>6.9559702469193419E+125</v>
      </c>
      <c r="NAY53" s="760">
        <f t="shared" si="184"/>
        <v>7.1646493543269229E+125</v>
      </c>
      <c r="NAZ53" s="760">
        <f t="shared" si="184"/>
        <v>7.379588834956731E+125</v>
      </c>
      <c r="NBA53" s="760">
        <f t="shared" si="184"/>
        <v>7.6009765000054325E+125</v>
      </c>
      <c r="NBB53" s="760">
        <f t="shared" si="184"/>
        <v>7.8290057950055952E+125</v>
      </c>
      <c r="NBC53" s="760">
        <f t="shared" si="184"/>
        <v>8.063875968855763E+125</v>
      </c>
      <c r="NBD53" s="760">
        <f t="shared" si="184"/>
        <v>8.3057922479214367E+125</v>
      </c>
      <c r="NBE53" s="760">
        <f t="shared" si="184"/>
        <v>8.5549660153590804E+125</v>
      </c>
      <c r="NBF53" s="760">
        <f t="shared" si="184"/>
        <v>8.8116149958198527E+125</v>
      </c>
      <c r="NBG53" s="760">
        <f t="shared" si="184"/>
        <v>9.0759634456944489E+125</v>
      </c>
      <c r="NBH53" s="760">
        <f t="shared" si="184"/>
        <v>9.3482423490652828E+125</v>
      </c>
      <c r="NBI53" s="760">
        <f t="shared" si="184"/>
        <v>9.6286896195372415E+125</v>
      </c>
      <c r="NBJ53" s="760">
        <f t="shared" si="184"/>
        <v>9.9175503081233585E+125</v>
      </c>
      <c r="NBK53" s="760">
        <f t="shared" si="184"/>
        <v>1.0215076817367059E+126</v>
      </c>
      <c r="NBL53" s="760">
        <f t="shared" si="184"/>
        <v>1.0521529121888071E+126</v>
      </c>
      <c r="NBM53" s="760">
        <f t="shared" si="184"/>
        <v>1.0837174995544714E+126</v>
      </c>
      <c r="NBN53" s="760">
        <f t="shared" si="184"/>
        <v>1.1162290245411056E+126</v>
      </c>
      <c r="NBO53" s="760">
        <f t="shared" si="184"/>
        <v>1.1497158952773388E+126</v>
      </c>
      <c r="NBP53" s="760">
        <f t="shared" si="184"/>
        <v>1.184207372135659E+126</v>
      </c>
      <c r="NBQ53" s="760">
        <f t="shared" si="184"/>
        <v>1.2197335932997287E+126</v>
      </c>
      <c r="NBR53" s="760">
        <f t="shared" si="184"/>
        <v>1.2563256010987207E+126</v>
      </c>
      <c r="NBS53" s="760">
        <f t="shared" si="184"/>
        <v>1.2940153691316823E+126</v>
      </c>
      <c r="NBT53" s="760">
        <f t="shared" si="184"/>
        <v>1.3328358302056329E+126</v>
      </c>
      <c r="NBU53" s="760">
        <f t="shared" si="184"/>
        <v>1.3728209051118018E+126</v>
      </c>
      <c r="NBV53" s="760">
        <f t="shared" si="184"/>
        <v>1.4140055322651559E+126</v>
      </c>
      <c r="NBW53" s="760">
        <f t="shared" si="184"/>
        <v>1.4564256982331106E+126</v>
      </c>
      <c r="NBX53" s="760">
        <f t="shared" si="184"/>
        <v>1.5001184691801038E+126</v>
      </c>
      <c r="NBY53" s="760">
        <f t="shared" si="184"/>
        <v>1.5451220232555071E+126</v>
      </c>
      <c r="NBZ53" s="760">
        <f t="shared" si="184"/>
        <v>1.5914756839531724E+126</v>
      </c>
      <c r="NCA53" s="760">
        <f t="shared" ref="NCA53:NEL53" si="185">+NBZ53*$C$53</f>
        <v>1.6392199544717676E+126</v>
      </c>
      <c r="NCB53" s="760">
        <f t="shared" si="185"/>
        <v>1.6883965531059207E+126</v>
      </c>
      <c r="NCC53" s="760">
        <f t="shared" si="185"/>
        <v>1.7390484496990985E+126</v>
      </c>
      <c r="NCD53" s="760">
        <f t="shared" si="185"/>
        <v>1.7912199031900716E+126</v>
      </c>
      <c r="NCE53" s="760">
        <f t="shared" si="185"/>
        <v>1.8449565002857738E+126</v>
      </c>
      <c r="NCF53" s="760">
        <f t="shared" si="185"/>
        <v>1.9003051952943472E+126</v>
      </c>
      <c r="NCG53" s="760">
        <f t="shared" si="185"/>
        <v>1.9573143511531777E+126</v>
      </c>
      <c r="NCH53" s="760">
        <f t="shared" si="185"/>
        <v>2.0160337816877731E+126</v>
      </c>
      <c r="NCI53" s="760">
        <f t="shared" si="185"/>
        <v>2.0765147951384063E+126</v>
      </c>
      <c r="NCJ53" s="760">
        <f t="shared" si="185"/>
        <v>2.1388102389925585E+126</v>
      </c>
      <c r="NCK53" s="760">
        <f t="shared" si="185"/>
        <v>2.2029745461623354E+126</v>
      </c>
      <c r="NCL53" s="760">
        <f t="shared" si="185"/>
        <v>2.2690637825472056E+126</v>
      </c>
      <c r="NCM53" s="760">
        <f t="shared" si="185"/>
        <v>2.3371356960236218E+126</v>
      </c>
      <c r="NCN53" s="760">
        <f t="shared" si="185"/>
        <v>2.4072497669043305E+126</v>
      </c>
      <c r="NCO53" s="760">
        <f t="shared" si="185"/>
        <v>2.4794672599114606E+126</v>
      </c>
      <c r="NCP53" s="760">
        <f t="shared" si="185"/>
        <v>2.5538512777088045E+126</v>
      </c>
      <c r="NCQ53" s="760">
        <f t="shared" si="185"/>
        <v>2.6304668160400687E+126</v>
      </c>
      <c r="NCR53" s="760">
        <f t="shared" si="185"/>
        <v>2.7093808205212706E+126</v>
      </c>
      <c r="NCS53" s="760">
        <f t="shared" si="185"/>
        <v>2.790662245136909E+126</v>
      </c>
      <c r="NCT53" s="760">
        <f t="shared" si="185"/>
        <v>2.8743821124910162E+126</v>
      </c>
      <c r="NCU53" s="760">
        <f t="shared" si="185"/>
        <v>2.9606135758657468E+126</v>
      </c>
      <c r="NCV53" s="760">
        <f t="shared" si="185"/>
        <v>3.0494319831417191E+126</v>
      </c>
      <c r="NCW53" s="760">
        <f t="shared" si="185"/>
        <v>3.1409149426359705E+126</v>
      </c>
      <c r="NCX53" s="760">
        <f t="shared" si="185"/>
        <v>3.2351423909150495E+126</v>
      </c>
      <c r="NCY53" s="760">
        <f t="shared" si="185"/>
        <v>3.3321966626425013E+126</v>
      </c>
      <c r="NCZ53" s="760">
        <f t="shared" si="185"/>
        <v>3.4321625625217767E+126</v>
      </c>
      <c r="NDA53" s="760">
        <f t="shared" si="185"/>
        <v>3.5351274393974303E+126</v>
      </c>
      <c r="NDB53" s="760">
        <f t="shared" si="185"/>
        <v>3.6411812625793531E+126</v>
      </c>
      <c r="NDC53" s="760">
        <f t="shared" si="185"/>
        <v>3.7504167004567337E+126</v>
      </c>
      <c r="NDD53" s="760">
        <f t="shared" si="185"/>
        <v>3.8629292014704356E+126</v>
      </c>
      <c r="NDE53" s="760">
        <f t="shared" si="185"/>
        <v>3.9788170775145487E+126</v>
      </c>
      <c r="NDF53" s="760">
        <f t="shared" si="185"/>
        <v>4.098181589839985E+126</v>
      </c>
      <c r="NDG53" s="760">
        <f t="shared" si="185"/>
        <v>4.2211270375351846E+126</v>
      </c>
      <c r="NDH53" s="760">
        <f t="shared" si="185"/>
        <v>4.3477608486612403E+126</v>
      </c>
      <c r="NDI53" s="760">
        <f t="shared" si="185"/>
        <v>4.4781936741210777E+126</v>
      </c>
      <c r="NDJ53" s="760">
        <f t="shared" si="185"/>
        <v>4.6125394843447101E+126</v>
      </c>
      <c r="NDK53" s="760">
        <f t="shared" si="185"/>
        <v>4.7509156688750517E+126</v>
      </c>
      <c r="NDL53" s="760">
        <f t="shared" si="185"/>
        <v>4.8934431389413035E+126</v>
      </c>
      <c r="NDM53" s="760">
        <f t="shared" si="185"/>
        <v>5.0402464331095429E+126</v>
      </c>
      <c r="NDN53" s="760">
        <f t="shared" si="185"/>
        <v>5.1914538261028296E+126</v>
      </c>
      <c r="NDO53" s="760">
        <f t="shared" si="185"/>
        <v>5.3471974408859146E+126</v>
      </c>
      <c r="NDP53" s="760">
        <f t="shared" si="185"/>
        <v>5.5076133641124927E+126</v>
      </c>
      <c r="NDQ53" s="760">
        <f t="shared" si="185"/>
        <v>5.6728417650358671E+126</v>
      </c>
      <c r="NDR53" s="760">
        <f t="shared" si="185"/>
        <v>5.8430270179869431E+126</v>
      </c>
      <c r="NDS53" s="760">
        <f t="shared" si="185"/>
        <v>6.018317828526551E+126</v>
      </c>
      <c r="NDT53" s="760">
        <f t="shared" si="185"/>
        <v>6.1988673633823472E+126</v>
      </c>
      <c r="NDU53" s="760">
        <f t="shared" si="185"/>
        <v>6.3848333842838182E+126</v>
      </c>
      <c r="NDV53" s="760">
        <f t="shared" si="185"/>
        <v>6.5763783858123327E+126</v>
      </c>
      <c r="NDW53" s="760">
        <f t="shared" si="185"/>
        <v>6.7736697373867028E+126</v>
      </c>
      <c r="NDX53" s="760">
        <f t="shared" si="185"/>
        <v>6.9768798295083035E+126</v>
      </c>
      <c r="NDY53" s="760">
        <f t="shared" si="185"/>
        <v>7.186186224393553E+126</v>
      </c>
      <c r="NDZ53" s="760">
        <f t="shared" si="185"/>
        <v>7.40177181112536E+126</v>
      </c>
      <c r="NEA53" s="760">
        <f t="shared" si="185"/>
        <v>7.6238249654591214E+126</v>
      </c>
      <c r="NEB53" s="760">
        <f t="shared" si="185"/>
        <v>7.8525397144228954E+126</v>
      </c>
      <c r="NEC53" s="760">
        <f t="shared" si="185"/>
        <v>8.0881159058555825E+126</v>
      </c>
      <c r="NED53" s="760">
        <f t="shared" si="185"/>
        <v>8.3307593830312506E+126</v>
      </c>
      <c r="NEE53" s="760">
        <f t="shared" si="185"/>
        <v>8.5806821645221878E+126</v>
      </c>
      <c r="NEF53" s="760">
        <f t="shared" si="185"/>
        <v>8.838102629457854E+126</v>
      </c>
      <c r="NEG53" s="760">
        <f t="shared" si="185"/>
        <v>9.1032457083415893E+126</v>
      </c>
      <c r="NEH53" s="760">
        <f t="shared" si="185"/>
        <v>9.3763430795918369E+126</v>
      </c>
      <c r="NEI53" s="760">
        <f t="shared" si="185"/>
        <v>9.6576333719795917E+126</v>
      </c>
      <c r="NEJ53" s="760">
        <f t="shared" si="185"/>
        <v>9.9473623731389802E+126</v>
      </c>
      <c r="NEK53" s="760">
        <f t="shared" si="185"/>
        <v>1.0245783244333149E+127</v>
      </c>
      <c r="NEL53" s="760">
        <f t="shared" si="185"/>
        <v>1.0553156741663144E+127</v>
      </c>
      <c r="NEM53" s="760">
        <f t="shared" ref="NEM53:NGX53" si="186">+NEL53*$C$53</f>
        <v>1.0869751443913039E+127</v>
      </c>
      <c r="NEN53" s="760">
        <f t="shared" si="186"/>
        <v>1.1195843987230431E+127</v>
      </c>
      <c r="NEO53" s="760">
        <f t="shared" si="186"/>
        <v>1.1531719306847343E+127</v>
      </c>
      <c r="NEP53" s="760">
        <f t="shared" si="186"/>
        <v>1.1877670886052763E+127</v>
      </c>
      <c r="NEQ53" s="760">
        <f t="shared" si="186"/>
        <v>1.2234001012634347E+127</v>
      </c>
      <c r="NER53" s="760">
        <f t="shared" si="186"/>
        <v>1.2601021043013379E+127</v>
      </c>
      <c r="NES53" s="760">
        <f t="shared" si="186"/>
        <v>1.2979051674303781E+127</v>
      </c>
      <c r="NET53" s="760">
        <f t="shared" si="186"/>
        <v>1.3368423224532895E+127</v>
      </c>
      <c r="NEU53" s="760">
        <f t="shared" si="186"/>
        <v>1.3769475921268881E+127</v>
      </c>
      <c r="NEV53" s="760">
        <f t="shared" si="186"/>
        <v>1.4182560198906948E+127</v>
      </c>
      <c r="NEW53" s="760">
        <f t="shared" si="186"/>
        <v>1.4608037004874157E+127</v>
      </c>
      <c r="NEX53" s="760">
        <f t="shared" si="186"/>
        <v>1.5046278115020381E+127</v>
      </c>
      <c r="NEY53" s="760">
        <f t="shared" si="186"/>
        <v>1.5497666458470994E+127</v>
      </c>
      <c r="NEZ53" s="760">
        <f t="shared" si="186"/>
        <v>1.5962596452225124E+127</v>
      </c>
      <c r="NFA53" s="760">
        <f t="shared" si="186"/>
        <v>1.6441474345791879E+127</v>
      </c>
      <c r="NFB53" s="760">
        <f t="shared" si="186"/>
        <v>1.6934718576165635E+127</v>
      </c>
      <c r="NFC53" s="760">
        <f t="shared" si="186"/>
        <v>1.7442760133450606E+127</v>
      </c>
      <c r="NFD53" s="760">
        <f t="shared" si="186"/>
        <v>1.7966042937454124E+127</v>
      </c>
      <c r="NFE53" s="760">
        <f t="shared" si="186"/>
        <v>1.8505024225577749E+127</v>
      </c>
      <c r="NFF53" s="760">
        <f t="shared" si="186"/>
        <v>1.9060174952345083E+127</v>
      </c>
      <c r="NFG53" s="760">
        <f t="shared" si="186"/>
        <v>1.9631980200915435E+127</v>
      </c>
      <c r="NFH53" s="760">
        <f t="shared" si="186"/>
        <v>2.02209396069429E+127</v>
      </c>
      <c r="NFI53" s="760">
        <f t="shared" si="186"/>
        <v>2.0827567795151187E+127</v>
      </c>
      <c r="NFJ53" s="760">
        <f t="shared" si="186"/>
        <v>2.1452394829005722E+127</v>
      </c>
      <c r="NFK53" s="760">
        <f t="shared" si="186"/>
        <v>2.2095966673875893E+127</v>
      </c>
      <c r="NFL53" s="760">
        <f t="shared" si="186"/>
        <v>2.2758845674092169E+127</v>
      </c>
      <c r="NFM53" s="760">
        <f t="shared" si="186"/>
        <v>2.3441611044314935E+127</v>
      </c>
      <c r="NFN53" s="760">
        <f t="shared" si="186"/>
        <v>2.4144859375644386E+127</v>
      </c>
      <c r="NFO53" s="760">
        <f t="shared" si="186"/>
        <v>2.4869205156913718E+127</v>
      </c>
      <c r="NFP53" s="760">
        <f t="shared" si="186"/>
        <v>2.5615281311621132E+127</v>
      </c>
      <c r="NFQ53" s="760">
        <f t="shared" si="186"/>
        <v>2.6383739750969768E+127</v>
      </c>
      <c r="NFR53" s="760">
        <f t="shared" si="186"/>
        <v>2.7175251943498862E+127</v>
      </c>
      <c r="NFS53" s="760">
        <f t="shared" si="186"/>
        <v>2.7990509501803827E+127</v>
      </c>
      <c r="NFT53" s="760">
        <f t="shared" si="186"/>
        <v>2.8830224786857944E+127</v>
      </c>
      <c r="NFU53" s="760">
        <f t="shared" si="186"/>
        <v>2.9695131530463685E+127</v>
      </c>
      <c r="NFV53" s="760">
        <f t="shared" si="186"/>
        <v>3.0585985476377594E+127</v>
      </c>
      <c r="NFW53" s="760">
        <f t="shared" si="186"/>
        <v>3.1503565040668921E+127</v>
      </c>
      <c r="NFX53" s="760">
        <f t="shared" si="186"/>
        <v>3.2448671991888992E+127</v>
      </c>
      <c r="NFY53" s="760">
        <f t="shared" si="186"/>
        <v>3.3422132151645664E+127</v>
      </c>
      <c r="NFZ53" s="760">
        <f t="shared" si="186"/>
        <v>3.4424796116195033E+127</v>
      </c>
      <c r="NGA53" s="760">
        <f t="shared" si="186"/>
        <v>3.5457539999680884E+127</v>
      </c>
      <c r="NGB53" s="760">
        <f t="shared" si="186"/>
        <v>3.6521266199671314E+127</v>
      </c>
      <c r="NGC53" s="760">
        <f t="shared" si="186"/>
        <v>3.7616904185661453E+127</v>
      </c>
      <c r="NGD53" s="760">
        <f t="shared" si="186"/>
        <v>3.8745411311231296E+127</v>
      </c>
      <c r="NGE53" s="760">
        <f t="shared" si="186"/>
        <v>3.9907773650568238E+127</v>
      </c>
      <c r="NGF53" s="760">
        <f t="shared" si="186"/>
        <v>4.1105006860085285E+127</v>
      </c>
      <c r="NGG53" s="760">
        <f t="shared" si="186"/>
        <v>4.2338157065887845E+127</v>
      </c>
      <c r="NGH53" s="760">
        <f t="shared" si="186"/>
        <v>4.3608301777864486E+127</v>
      </c>
      <c r="NGI53" s="760">
        <f t="shared" si="186"/>
        <v>4.4916550831200424E+127</v>
      </c>
      <c r="NGJ53" s="760">
        <f t="shared" si="186"/>
        <v>4.6264047356136437E+127</v>
      </c>
      <c r="NGK53" s="760">
        <f t="shared" si="186"/>
        <v>4.7651968776820534E+127</v>
      </c>
      <c r="NGL53" s="760">
        <f t="shared" si="186"/>
        <v>4.9081527840125152E+127</v>
      </c>
      <c r="NGM53" s="760">
        <f t="shared" si="186"/>
        <v>5.0553973675328909E+127</v>
      </c>
      <c r="NGN53" s="760">
        <f t="shared" si="186"/>
        <v>5.2070592885588778E+127</v>
      </c>
      <c r="NGO53" s="760">
        <f t="shared" si="186"/>
        <v>5.3632710672156444E+127</v>
      </c>
      <c r="NGP53" s="760">
        <f t="shared" si="186"/>
        <v>5.5241691992321139E+127</v>
      </c>
      <c r="NGQ53" s="760">
        <f t="shared" si="186"/>
        <v>5.6898942752090775E+127</v>
      </c>
      <c r="NGR53" s="760">
        <f t="shared" si="186"/>
        <v>5.8605911034653504E+127</v>
      </c>
      <c r="NGS53" s="760">
        <f t="shared" si="186"/>
        <v>6.036408836569311E+127</v>
      </c>
      <c r="NGT53" s="760">
        <f t="shared" si="186"/>
        <v>6.217501101666391E+127</v>
      </c>
      <c r="NGU53" s="760">
        <f t="shared" si="186"/>
        <v>6.4040261347163825E+127</v>
      </c>
      <c r="NGV53" s="760">
        <f t="shared" si="186"/>
        <v>6.5961469187578745E+127</v>
      </c>
      <c r="NGW53" s="760">
        <f t="shared" si="186"/>
        <v>6.7940313263206113E+127</v>
      </c>
      <c r="NGX53" s="760">
        <f t="shared" si="186"/>
        <v>6.9978522661102297E+127</v>
      </c>
      <c r="NGY53" s="760">
        <f t="shared" ref="NGY53:NJJ53" si="187">+NGX53*$C$53</f>
        <v>7.2077878340935369E+127</v>
      </c>
      <c r="NGZ53" s="760">
        <f t="shared" si="187"/>
        <v>7.4240214691163436E+127</v>
      </c>
      <c r="NHA53" s="760">
        <f t="shared" si="187"/>
        <v>7.6467421131898336E+127</v>
      </c>
      <c r="NHB53" s="760">
        <f t="shared" si="187"/>
        <v>7.8761443765855285E+127</v>
      </c>
      <c r="NHC53" s="760">
        <f t="shared" si="187"/>
        <v>8.1124287078830943E+127</v>
      </c>
      <c r="NHD53" s="760">
        <f t="shared" si="187"/>
        <v>8.3558015691195873E+127</v>
      </c>
      <c r="NHE53" s="760">
        <f t="shared" si="187"/>
        <v>8.6064756161931747E+127</v>
      </c>
      <c r="NHF53" s="760">
        <f t="shared" si="187"/>
        <v>8.8646698846789693E+127</v>
      </c>
      <c r="NHG53" s="760">
        <f t="shared" si="187"/>
        <v>9.1306099812193384E+127</v>
      </c>
      <c r="NHH53" s="760">
        <f t="shared" si="187"/>
        <v>9.4045282806559196E+127</v>
      </c>
      <c r="NHI53" s="760">
        <f t="shared" si="187"/>
        <v>9.6866641290755967E+127</v>
      </c>
      <c r="NHJ53" s="760">
        <f t="shared" si="187"/>
        <v>9.9772640529478647E+127</v>
      </c>
      <c r="NHK53" s="760">
        <f t="shared" si="187"/>
        <v>1.0276581974536301E+128</v>
      </c>
      <c r="NHL53" s="760">
        <f t="shared" si="187"/>
        <v>1.0584879433772391E+128</v>
      </c>
      <c r="NHM53" s="760">
        <f t="shared" si="187"/>
        <v>1.0902425816785562E+128</v>
      </c>
      <c r="NHN53" s="760">
        <f t="shared" si="187"/>
        <v>1.122949859128913E+128</v>
      </c>
      <c r="NHO53" s="760">
        <f t="shared" si="187"/>
        <v>1.1566383549027804E+128</v>
      </c>
      <c r="NHP53" s="760">
        <f t="shared" si="187"/>
        <v>1.1913375055498638E+128</v>
      </c>
      <c r="NHQ53" s="760">
        <f t="shared" si="187"/>
        <v>1.2270776307163596E+128</v>
      </c>
      <c r="NHR53" s="760">
        <f t="shared" si="187"/>
        <v>1.2638899596378504E+128</v>
      </c>
      <c r="NHS53" s="760">
        <f t="shared" si="187"/>
        <v>1.301806658426986E+128</v>
      </c>
      <c r="NHT53" s="760">
        <f t="shared" si="187"/>
        <v>1.3408608581797957E+128</v>
      </c>
      <c r="NHU53" s="760">
        <f t="shared" si="187"/>
        <v>1.3810866839251896E+128</v>
      </c>
      <c r="NHV53" s="760">
        <f t="shared" si="187"/>
        <v>1.4225192844429453E+128</v>
      </c>
      <c r="NHW53" s="760">
        <f t="shared" si="187"/>
        <v>1.4651948629762337E+128</v>
      </c>
      <c r="NHX53" s="760">
        <f t="shared" si="187"/>
        <v>1.5091507088655207E+128</v>
      </c>
      <c r="NHY53" s="760">
        <f t="shared" si="187"/>
        <v>1.5544252301314864E+128</v>
      </c>
      <c r="NHZ53" s="760">
        <f t="shared" si="187"/>
        <v>1.601057987035431E+128</v>
      </c>
      <c r="NIA53" s="760">
        <f t="shared" si="187"/>
        <v>1.6490897266464939E+128</v>
      </c>
      <c r="NIB53" s="760">
        <f t="shared" si="187"/>
        <v>1.6985624184458888E+128</v>
      </c>
      <c r="NIC53" s="760">
        <f t="shared" si="187"/>
        <v>1.7495192909992654E+128</v>
      </c>
      <c r="NID53" s="760">
        <f t="shared" si="187"/>
        <v>1.8020048697292433E+128</v>
      </c>
      <c r="NIE53" s="760">
        <f t="shared" si="187"/>
        <v>1.8560650158211207E+128</v>
      </c>
      <c r="NIF53" s="760">
        <f t="shared" si="187"/>
        <v>1.9117469662957545E+128</v>
      </c>
      <c r="NIG53" s="760">
        <f t="shared" si="187"/>
        <v>1.9690993752846272E+128</v>
      </c>
      <c r="NIH53" s="760">
        <f t="shared" si="187"/>
        <v>2.028172356543166E+128</v>
      </c>
      <c r="NII53" s="760">
        <f t="shared" si="187"/>
        <v>2.089017527239461E+128</v>
      </c>
      <c r="NIJ53" s="760">
        <f t="shared" si="187"/>
        <v>2.1516880530566451E+128</v>
      </c>
      <c r="NIK53" s="760">
        <f t="shared" si="187"/>
        <v>2.2162386946483445E+128</v>
      </c>
      <c r="NIL53" s="760">
        <f t="shared" si="187"/>
        <v>2.2827258554877947E+128</v>
      </c>
      <c r="NIM53" s="760">
        <f t="shared" si="187"/>
        <v>2.3512076311524288E+128</v>
      </c>
      <c r="NIN53" s="760">
        <f t="shared" si="187"/>
        <v>2.4217438600870017E+128</v>
      </c>
      <c r="NIO53" s="760">
        <f t="shared" si="187"/>
        <v>2.494396175889612E+128</v>
      </c>
      <c r="NIP53" s="760">
        <f t="shared" si="187"/>
        <v>2.5692280611663002E+128</v>
      </c>
      <c r="NIQ53" s="760">
        <f t="shared" si="187"/>
        <v>2.6463049030012892E+128</v>
      </c>
      <c r="NIR53" s="760">
        <f t="shared" si="187"/>
        <v>2.725694050091328E+128</v>
      </c>
      <c r="NIS53" s="760">
        <f t="shared" si="187"/>
        <v>2.8074648715940679E+128</v>
      </c>
      <c r="NIT53" s="760">
        <f t="shared" si="187"/>
        <v>2.89168881774189E+128</v>
      </c>
      <c r="NIU53" s="760">
        <f t="shared" si="187"/>
        <v>2.9784394822741469E+128</v>
      </c>
      <c r="NIV53" s="760">
        <f t="shared" si="187"/>
        <v>3.0677926667423714E+128</v>
      </c>
      <c r="NIW53" s="760">
        <f t="shared" si="187"/>
        <v>3.1598264467446426E+128</v>
      </c>
      <c r="NIX53" s="760">
        <f t="shared" si="187"/>
        <v>3.2546212401469819E+128</v>
      </c>
      <c r="NIY53" s="760">
        <f t="shared" si="187"/>
        <v>3.3522598773513916E+128</v>
      </c>
      <c r="NIZ53" s="760">
        <f t="shared" si="187"/>
        <v>3.4528276736719334E+128</v>
      </c>
      <c r="NJA53" s="760">
        <f t="shared" si="187"/>
        <v>3.5564125038820913E+128</v>
      </c>
      <c r="NJB53" s="760">
        <f t="shared" si="187"/>
        <v>3.6631048789985543E+128</v>
      </c>
      <c r="NJC53" s="760">
        <f t="shared" si="187"/>
        <v>3.7729980253685113E+128</v>
      </c>
      <c r="NJD53" s="760">
        <f t="shared" si="187"/>
        <v>3.8861879661295665E+128</v>
      </c>
      <c r="NJE53" s="760">
        <f t="shared" si="187"/>
        <v>4.0027736051134533E+128</v>
      </c>
      <c r="NJF53" s="760">
        <f t="shared" si="187"/>
        <v>4.1228568132668572E+128</v>
      </c>
      <c r="NJG53" s="760">
        <f t="shared" si="187"/>
        <v>4.2465425176648628E+128</v>
      </c>
      <c r="NJH53" s="760">
        <f t="shared" si="187"/>
        <v>4.3739387931948091E+128</v>
      </c>
      <c r="NJI53" s="760">
        <f t="shared" si="187"/>
        <v>4.5051569569906534E+128</v>
      </c>
      <c r="NJJ53" s="760">
        <f t="shared" si="187"/>
        <v>4.6403116657003732E+128</v>
      </c>
      <c r="NJK53" s="760">
        <f t="shared" ref="NJK53:NLV53" si="188">+NJJ53*$C$53</f>
        <v>4.7795210156713843E+128</v>
      </c>
      <c r="NJL53" s="760">
        <f t="shared" si="188"/>
        <v>4.9229066461415262E+128</v>
      </c>
      <c r="NJM53" s="760">
        <f t="shared" si="188"/>
        <v>5.0705938455257722E+128</v>
      </c>
      <c r="NJN53" s="760">
        <f t="shared" si="188"/>
        <v>5.2227116608915456E+128</v>
      </c>
      <c r="NJO53" s="760">
        <f t="shared" si="188"/>
        <v>5.3793930107182919E+128</v>
      </c>
      <c r="NJP53" s="760">
        <f t="shared" si="188"/>
        <v>5.5407748010398409E+128</v>
      </c>
      <c r="NJQ53" s="760">
        <f t="shared" si="188"/>
        <v>5.7069980450710364E+128</v>
      </c>
      <c r="NJR53" s="760">
        <f t="shared" si="188"/>
        <v>5.8782079864231673E+128</v>
      </c>
      <c r="NJS53" s="760">
        <f t="shared" si="188"/>
        <v>6.0545542260158622E+128</v>
      </c>
      <c r="NJT53" s="760">
        <f t="shared" si="188"/>
        <v>6.2361908527963384E+128</v>
      </c>
      <c r="NJU53" s="760">
        <f t="shared" si="188"/>
        <v>6.4232765783802288E+128</v>
      </c>
      <c r="NJV53" s="760">
        <f t="shared" si="188"/>
        <v>6.6159748757316357E+128</v>
      </c>
      <c r="NJW53" s="760">
        <f t="shared" si="188"/>
        <v>6.8144541220035853E+128</v>
      </c>
      <c r="NJX53" s="760">
        <f t="shared" si="188"/>
        <v>7.0188877456636928E+128</v>
      </c>
      <c r="NJY53" s="760">
        <f t="shared" si="188"/>
        <v>7.2294543780336042E+128</v>
      </c>
      <c r="NJZ53" s="760">
        <f t="shared" si="188"/>
        <v>7.4463380093746127E+128</v>
      </c>
      <c r="NKA53" s="760">
        <f t="shared" si="188"/>
        <v>7.6697281496558509E+128</v>
      </c>
      <c r="NKB53" s="760">
        <f t="shared" si="188"/>
        <v>7.899819994145526E+128</v>
      </c>
      <c r="NKC53" s="760">
        <f t="shared" si="188"/>
        <v>8.1368145939698913E+128</v>
      </c>
      <c r="NKD53" s="760">
        <f t="shared" si="188"/>
        <v>8.3809190317889888E+128</v>
      </c>
      <c r="NKE53" s="760">
        <f t="shared" si="188"/>
        <v>8.6323466027426591E+128</v>
      </c>
      <c r="NKF53" s="760">
        <f t="shared" si="188"/>
        <v>8.8913170008249398E+128</v>
      </c>
      <c r="NKG53" s="760">
        <f t="shared" si="188"/>
        <v>9.1580565108496885E+128</v>
      </c>
      <c r="NKH53" s="760">
        <f t="shared" si="188"/>
        <v>9.4327982061751798E+128</v>
      </c>
      <c r="NKI53" s="760">
        <f t="shared" si="188"/>
        <v>9.7157821523604361E+128</v>
      </c>
      <c r="NKJ53" s="760">
        <f t="shared" si="188"/>
        <v>1.000725561693125E+129</v>
      </c>
      <c r="NKK53" s="760">
        <f t="shared" si="188"/>
        <v>1.0307473285439188E+129</v>
      </c>
      <c r="NKL53" s="760">
        <f t="shared" si="188"/>
        <v>1.0616697484002364E+129</v>
      </c>
      <c r="NKM53" s="760">
        <f t="shared" si="188"/>
        <v>1.0935198408522436E+129</v>
      </c>
      <c r="NKN53" s="760">
        <f t="shared" si="188"/>
        <v>1.1263254360778109E+129</v>
      </c>
      <c r="NKO53" s="760">
        <f t="shared" si="188"/>
        <v>1.1601151991601453E+129</v>
      </c>
      <c r="NKP53" s="760">
        <f t="shared" si="188"/>
        <v>1.1949186551349496E+129</v>
      </c>
      <c r="NKQ53" s="760">
        <f t="shared" si="188"/>
        <v>1.2307662147889981E+129</v>
      </c>
      <c r="NKR53" s="760">
        <f t="shared" si="188"/>
        <v>1.267689201232668E+129</v>
      </c>
      <c r="NKS53" s="760">
        <f t="shared" si="188"/>
        <v>1.3057198772696482E+129</v>
      </c>
      <c r="NKT53" s="760">
        <f t="shared" si="188"/>
        <v>1.3448914735877376E+129</v>
      </c>
      <c r="NKU53" s="760">
        <f t="shared" si="188"/>
        <v>1.3852382177953698E+129</v>
      </c>
      <c r="NKV53" s="760">
        <f t="shared" si="188"/>
        <v>1.426795364329231E+129</v>
      </c>
      <c r="NKW53" s="760">
        <f t="shared" si="188"/>
        <v>1.4695992252591081E+129</v>
      </c>
      <c r="NKX53" s="760">
        <f t="shared" si="188"/>
        <v>1.5136872020168815E+129</v>
      </c>
      <c r="NKY53" s="760">
        <f t="shared" si="188"/>
        <v>1.5590978180773881E+129</v>
      </c>
      <c r="NKZ53" s="760">
        <f t="shared" si="188"/>
        <v>1.6058707526197097E+129</v>
      </c>
      <c r="NLA53" s="760">
        <f t="shared" si="188"/>
        <v>1.654046875198301E+129</v>
      </c>
      <c r="NLB53" s="760">
        <f t="shared" si="188"/>
        <v>1.70366828145425E+129</v>
      </c>
      <c r="NLC53" s="760">
        <f t="shared" si="188"/>
        <v>1.7547783298978774E+129</v>
      </c>
      <c r="NLD53" s="760">
        <f t="shared" si="188"/>
        <v>1.8074216797948138E+129</v>
      </c>
      <c r="NLE53" s="760">
        <f t="shared" si="188"/>
        <v>1.8616443301886581E+129</v>
      </c>
      <c r="NLF53" s="760">
        <f t="shared" si="188"/>
        <v>1.9174936600943179E+129</v>
      </c>
      <c r="NLG53" s="760">
        <f t="shared" si="188"/>
        <v>1.9750184698971474E+129</v>
      </c>
      <c r="NLH53" s="760">
        <f t="shared" si="188"/>
        <v>2.034269023994062E+129</v>
      </c>
      <c r="NLI53" s="760">
        <f t="shared" si="188"/>
        <v>2.0952970947138841E+129</v>
      </c>
      <c r="NLJ53" s="760">
        <f t="shared" si="188"/>
        <v>2.1581560075553008E+129</v>
      </c>
      <c r="NLK53" s="760">
        <f t="shared" si="188"/>
        <v>2.22290068778196E+129</v>
      </c>
      <c r="NLL53" s="760">
        <f t="shared" si="188"/>
        <v>2.289587708415419E+129</v>
      </c>
      <c r="NLM53" s="760">
        <f t="shared" si="188"/>
        <v>2.3582753396678818E+129</v>
      </c>
      <c r="NLN53" s="760">
        <f t="shared" si="188"/>
        <v>2.4290235998579182E+129</v>
      </c>
      <c r="NLO53" s="760">
        <f t="shared" si="188"/>
        <v>2.5018943078536559E+129</v>
      </c>
      <c r="NLP53" s="760">
        <f t="shared" si="188"/>
        <v>2.5769511370892655E+129</v>
      </c>
      <c r="NLQ53" s="760">
        <f t="shared" si="188"/>
        <v>2.6542596712019435E+129</v>
      </c>
      <c r="NLR53" s="760">
        <f t="shared" si="188"/>
        <v>2.7338874613380019E+129</v>
      </c>
      <c r="NLS53" s="760">
        <f t="shared" si="188"/>
        <v>2.8159040851781421E+129</v>
      </c>
      <c r="NLT53" s="760">
        <f t="shared" si="188"/>
        <v>2.9003812077334864E+129</v>
      </c>
      <c r="NLU53" s="760">
        <f t="shared" si="188"/>
        <v>2.9873926439654914E+129</v>
      </c>
      <c r="NLV53" s="760">
        <f t="shared" si="188"/>
        <v>3.0770144232844565E+129</v>
      </c>
      <c r="NLW53" s="760">
        <f t="shared" ref="NLW53:NOH53" si="189">+NLV53*$C$53</f>
        <v>3.16932485598299E+129</v>
      </c>
      <c r="NLX53" s="760">
        <f t="shared" si="189"/>
        <v>3.2644046016624799E+129</v>
      </c>
      <c r="NLY53" s="760">
        <f t="shared" si="189"/>
        <v>3.3623367397123545E+129</v>
      </c>
      <c r="NLZ53" s="760">
        <f t="shared" si="189"/>
        <v>3.4632068419037251E+129</v>
      </c>
      <c r="NMA53" s="760">
        <f t="shared" si="189"/>
        <v>3.5671030471608368E+129</v>
      </c>
      <c r="NMB53" s="760">
        <f t="shared" si="189"/>
        <v>3.6741161385756619E+129</v>
      </c>
      <c r="NMC53" s="760">
        <f t="shared" si="189"/>
        <v>3.7843396227329319E+129</v>
      </c>
      <c r="NMD53" s="760">
        <f t="shared" si="189"/>
        <v>3.8978698114149203E+129</v>
      </c>
      <c r="NME53" s="760">
        <f t="shared" si="189"/>
        <v>4.0148059057573679E+129</v>
      </c>
      <c r="NMF53" s="760">
        <f t="shared" si="189"/>
        <v>4.1352500829300891E+129</v>
      </c>
      <c r="NMG53" s="760">
        <f t="shared" si="189"/>
        <v>4.2593075854179921E+129</v>
      </c>
      <c r="NMH53" s="760">
        <f t="shared" si="189"/>
        <v>4.3870868129805319E+129</v>
      </c>
      <c r="NMI53" s="760">
        <f t="shared" si="189"/>
        <v>4.5186994173699478E+129</v>
      </c>
      <c r="NMJ53" s="760">
        <f t="shared" si="189"/>
        <v>4.6542603998910462E+129</v>
      </c>
      <c r="NMK53" s="760">
        <f t="shared" si="189"/>
        <v>4.7938882118877775E+129</v>
      </c>
      <c r="NML53" s="760">
        <f t="shared" si="189"/>
        <v>4.9377048582444111E+129</v>
      </c>
      <c r="NMM53" s="760">
        <f t="shared" si="189"/>
        <v>5.0858360039917439E+129</v>
      </c>
      <c r="NMN53" s="760">
        <f t="shared" si="189"/>
        <v>5.238411084111496E+129</v>
      </c>
      <c r="NMO53" s="760">
        <f t="shared" si="189"/>
        <v>5.3955634166348408E+129</v>
      </c>
      <c r="NMP53" s="760">
        <f t="shared" si="189"/>
        <v>5.5574303191338862E+129</v>
      </c>
      <c r="NMQ53" s="760">
        <f t="shared" si="189"/>
        <v>5.7241532287079029E+129</v>
      </c>
      <c r="NMR53" s="760">
        <f t="shared" si="189"/>
        <v>5.8958778255691398E+129</v>
      </c>
      <c r="NMS53" s="760">
        <f t="shared" si="189"/>
        <v>6.072754160336214E+129</v>
      </c>
      <c r="NMT53" s="760">
        <f t="shared" si="189"/>
        <v>6.2549367851463011E+129</v>
      </c>
      <c r="NMU53" s="760">
        <f t="shared" si="189"/>
        <v>6.4425848887006908E+129</v>
      </c>
      <c r="NMV53" s="760">
        <f t="shared" si="189"/>
        <v>6.6358624353617112E+129</v>
      </c>
      <c r="NMW53" s="760">
        <f t="shared" si="189"/>
        <v>6.834938308422563E+129</v>
      </c>
      <c r="NMX53" s="760">
        <f t="shared" si="189"/>
        <v>7.03998645767524E+129</v>
      </c>
      <c r="NMY53" s="760">
        <f t="shared" si="189"/>
        <v>7.2511860514054971E+129</v>
      </c>
      <c r="NMZ53" s="760">
        <f t="shared" si="189"/>
        <v>7.4687216329476619E+129</v>
      </c>
      <c r="NNA53" s="760">
        <f t="shared" si="189"/>
        <v>7.6927832819360914E+129</v>
      </c>
      <c r="NNB53" s="760">
        <f t="shared" si="189"/>
        <v>7.9235667803941744E+129</v>
      </c>
      <c r="NNC53" s="760">
        <f t="shared" si="189"/>
        <v>8.1612737838060002E+129</v>
      </c>
      <c r="NND53" s="760">
        <f t="shared" si="189"/>
        <v>8.4061119973201802E+129</v>
      </c>
      <c r="NNE53" s="760">
        <f t="shared" si="189"/>
        <v>8.6582953572397856E+129</v>
      </c>
      <c r="NNF53" s="760">
        <f t="shared" si="189"/>
        <v>8.918044217956979E+129</v>
      </c>
      <c r="NNG53" s="760">
        <f t="shared" si="189"/>
        <v>9.1855855444956887E+129</v>
      </c>
      <c r="NNH53" s="760">
        <f t="shared" si="189"/>
        <v>9.4611531108305598E+129</v>
      </c>
      <c r="NNI53" s="760">
        <f t="shared" si="189"/>
        <v>9.7449877041554773E+129</v>
      </c>
      <c r="NNJ53" s="760">
        <f t="shared" si="189"/>
        <v>1.0037337335280142E+130</v>
      </c>
      <c r="NNK53" s="760">
        <f t="shared" si="189"/>
        <v>1.0338457455338547E+130</v>
      </c>
      <c r="NNL53" s="760">
        <f t="shared" si="189"/>
        <v>1.0648611178998704E+130</v>
      </c>
      <c r="NNM53" s="760">
        <f t="shared" si="189"/>
        <v>1.0968069514368664E+130</v>
      </c>
      <c r="NNN53" s="760">
        <f t="shared" si="189"/>
        <v>1.1297111599799724E+130</v>
      </c>
      <c r="NNO53" s="760">
        <f t="shared" si="189"/>
        <v>1.1636024947793715E+130</v>
      </c>
      <c r="NNP53" s="760">
        <f t="shared" si="189"/>
        <v>1.1985105696227527E+130</v>
      </c>
      <c r="NNQ53" s="760">
        <f t="shared" si="189"/>
        <v>1.2344658867114354E+130</v>
      </c>
      <c r="NNR53" s="760">
        <f t="shared" si="189"/>
        <v>1.2714998633127785E+130</v>
      </c>
      <c r="NNS53" s="760">
        <f t="shared" si="189"/>
        <v>1.3096448592121618E+130</v>
      </c>
      <c r="NNT53" s="760">
        <f t="shared" si="189"/>
        <v>1.3489342049885268E+130</v>
      </c>
      <c r="NNU53" s="760">
        <f t="shared" si="189"/>
        <v>1.3894022311381825E+130</v>
      </c>
      <c r="NNV53" s="760">
        <f t="shared" si="189"/>
        <v>1.4310842980723281E+130</v>
      </c>
      <c r="NNW53" s="760">
        <f t="shared" si="189"/>
        <v>1.4740168270144981E+130</v>
      </c>
      <c r="NNX53" s="760">
        <f t="shared" si="189"/>
        <v>1.518237331824933E+130</v>
      </c>
      <c r="NNY53" s="760">
        <f t="shared" si="189"/>
        <v>1.563784451779681E+130</v>
      </c>
      <c r="NNZ53" s="760">
        <f t="shared" si="189"/>
        <v>1.6106979853330715E+130</v>
      </c>
      <c r="NOA53" s="760">
        <f t="shared" si="189"/>
        <v>1.6590189248930636E+130</v>
      </c>
      <c r="NOB53" s="760">
        <f t="shared" si="189"/>
        <v>1.7087894926398556E+130</v>
      </c>
      <c r="NOC53" s="760">
        <f t="shared" si="189"/>
        <v>1.7600531774190514E+130</v>
      </c>
      <c r="NOD53" s="760">
        <f t="shared" si="189"/>
        <v>1.8128547727416231E+130</v>
      </c>
      <c r="NOE53" s="760">
        <f t="shared" si="189"/>
        <v>1.8672404159238718E+130</v>
      </c>
      <c r="NOF53" s="760">
        <f t="shared" si="189"/>
        <v>1.923257628401588E+130</v>
      </c>
      <c r="NOG53" s="760">
        <f t="shared" si="189"/>
        <v>1.9809553572536358E+130</v>
      </c>
      <c r="NOH53" s="760">
        <f t="shared" si="189"/>
        <v>2.040384017971245E+130</v>
      </c>
      <c r="NOI53" s="760">
        <f t="shared" ref="NOI53:NQT53" si="190">+NOH53*$C$53</f>
        <v>2.1015955385103824E+130</v>
      </c>
      <c r="NOJ53" s="760">
        <f t="shared" si="190"/>
        <v>2.164643404665694E+130</v>
      </c>
      <c r="NOK53" s="760">
        <f t="shared" si="190"/>
        <v>2.2295827068056648E+130</v>
      </c>
      <c r="NOL53" s="760">
        <f t="shared" si="190"/>
        <v>2.296470188009835E+130</v>
      </c>
      <c r="NOM53" s="760">
        <f t="shared" si="190"/>
        <v>2.36536429365013E+130</v>
      </c>
      <c r="NON53" s="760">
        <f t="shared" si="190"/>
        <v>2.436325222459634E+130</v>
      </c>
      <c r="NOO53" s="760">
        <f t="shared" si="190"/>
        <v>2.509414979133423E+130</v>
      </c>
      <c r="NOP53" s="760">
        <f t="shared" si="190"/>
        <v>2.5846974285074257E+130</v>
      </c>
      <c r="NOQ53" s="760">
        <f t="shared" si="190"/>
        <v>2.6622383513626485E+130</v>
      </c>
      <c r="NOR53" s="760">
        <f t="shared" si="190"/>
        <v>2.7421055019035279E+130</v>
      </c>
      <c r="NOS53" s="760">
        <f t="shared" si="190"/>
        <v>2.824368666960634E+130</v>
      </c>
      <c r="NOT53" s="760">
        <f t="shared" si="190"/>
        <v>2.9090997269694532E+130</v>
      </c>
      <c r="NOU53" s="760">
        <f t="shared" si="190"/>
        <v>2.9963727187785371E+130</v>
      </c>
      <c r="NOV53" s="760">
        <f t="shared" si="190"/>
        <v>3.0862639003418932E+130</v>
      </c>
      <c r="NOW53" s="760">
        <f t="shared" si="190"/>
        <v>3.17885181735215E+130</v>
      </c>
      <c r="NOX53" s="760">
        <f t="shared" si="190"/>
        <v>3.2742173718727147E+130</v>
      </c>
      <c r="NOY53" s="760">
        <f t="shared" si="190"/>
        <v>3.3724438930288962E+130</v>
      </c>
      <c r="NOZ53" s="760">
        <f t="shared" si="190"/>
        <v>3.4736172098197632E+130</v>
      </c>
      <c r="NPA53" s="760">
        <f t="shared" si="190"/>
        <v>3.5778257261143563E+130</v>
      </c>
      <c r="NPB53" s="760">
        <f t="shared" si="190"/>
        <v>3.6851604978977871E+130</v>
      </c>
      <c r="NPC53" s="760">
        <f t="shared" si="190"/>
        <v>3.7957153128347206E+130</v>
      </c>
      <c r="NPD53" s="760">
        <f t="shared" si="190"/>
        <v>3.9095867722197624E+130</v>
      </c>
      <c r="NPE53" s="760">
        <f t="shared" si="190"/>
        <v>4.0268743753863552E+130</v>
      </c>
      <c r="NPF53" s="760">
        <f t="shared" si="190"/>
        <v>4.1476806066479461E+130</v>
      </c>
      <c r="NPG53" s="760">
        <f t="shared" si="190"/>
        <v>4.2721110248473846E+130</v>
      </c>
      <c r="NPH53" s="760">
        <f t="shared" si="190"/>
        <v>4.4002743555928063E+130</v>
      </c>
      <c r="NPI53" s="760">
        <f t="shared" si="190"/>
        <v>4.5322825862605903E+130</v>
      </c>
      <c r="NPJ53" s="760">
        <f t="shared" si="190"/>
        <v>4.6682510638484079E+130</v>
      </c>
      <c r="NPK53" s="760">
        <f t="shared" si="190"/>
        <v>4.8082985957638602E+130</v>
      </c>
      <c r="NPL53" s="760">
        <f t="shared" si="190"/>
        <v>4.9525475536367758E+130</v>
      </c>
      <c r="NPM53" s="760">
        <f t="shared" si="190"/>
        <v>5.1011239802458795E+130</v>
      </c>
      <c r="NPN53" s="760">
        <f t="shared" si="190"/>
        <v>5.2541576996532562E+130</v>
      </c>
      <c r="NPO53" s="760">
        <f t="shared" si="190"/>
        <v>5.411782430642854E+130</v>
      </c>
      <c r="NPP53" s="760">
        <f t="shared" si="190"/>
        <v>5.5741359035621394E+130</v>
      </c>
      <c r="NPQ53" s="760">
        <f t="shared" si="190"/>
        <v>5.7413599806690041E+130</v>
      </c>
      <c r="NPR53" s="760">
        <f t="shared" si="190"/>
        <v>5.9136007800890746E+130</v>
      </c>
      <c r="NPS53" s="760">
        <f t="shared" si="190"/>
        <v>6.0910088034917466E+130</v>
      </c>
      <c r="NPT53" s="760">
        <f t="shared" si="190"/>
        <v>6.2737390675964993E+130</v>
      </c>
      <c r="NPU53" s="760">
        <f t="shared" si="190"/>
        <v>6.4619512396243944E+130</v>
      </c>
      <c r="NPV53" s="760">
        <f t="shared" si="190"/>
        <v>6.6558097768131265E+130</v>
      </c>
      <c r="NPW53" s="760">
        <f t="shared" si="190"/>
        <v>6.8554840701175205E+130</v>
      </c>
      <c r="NPX53" s="760">
        <f t="shared" si="190"/>
        <v>7.0611485922210464E+130</v>
      </c>
      <c r="NPY53" s="760">
        <f t="shared" si="190"/>
        <v>7.2729830499876783E+130</v>
      </c>
      <c r="NPZ53" s="760">
        <f t="shared" si="190"/>
        <v>7.491172541487309E+130</v>
      </c>
      <c r="NQA53" s="760">
        <f t="shared" si="190"/>
        <v>7.7159077177319282E+130</v>
      </c>
      <c r="NQB53" s="760">
        <f t="shared" si="190"/>
        <v>7.9473849492638862E+130</v>
      </c>
      <c r="NQC53" s="760">
        <f t="shared" si="190"/>
        <v>8.1858064977418035E+130</v>
      </c>
      <c r="NQD53" s="760">
        <f t="shared" si="190"/>
        <v>8.431380692674058E+130</v>
      </c>
      <c r="NQE53" s="760">
        <f t="shared" si="190"/>
        <v>8.6843221134542801E+130</v>
      </c>
      <c r="NQF53" s="760">
        <f t="shared" si="190"/>
        <v>8.9448517768579085E+130</v>
      </c>
      <c r="NQG53" s="760">
        <f t="shared" si="190"/>
        <v>9.2131973301636469E+130</v>
      </c>
      <c r="NQH53" s="760">
        <f t="shared" si="190"/>
        <v>9.4895932500685563E+130</v>
      </c>
      <c r="NQI53" s="760">
        <f t="shared" si="190"/>
        <v>9.7742810475706129E+130</v>
      </c>
      <c r="NQJ53" s="760">
        <f t="shared" si="190"/>
        <v>1.0067509478997731E+131</v>
      </c>
      <c r="NQK53" s="760">
        <f t="shared" si="190"/>
        <v>1.0369534763367662E+131</v>
      </c>
      <c r="NQL53" s="760">
        <f t="shared" si="190"/>
        <v>1.0680620806268692E+131</v>
      </c>
      <c r="NQM53" s="760">
        <f t="shared" si="190"/>
        <v>1.1001039430456753E+131</v>
      </c>
      <c r="NQN53" s="760">
        <f t="shared" si="190"/>
        <v>1.1331070613370456E+131</v>
      </c>
      <c r="NQO53" s="760">
        <f t="shared" si="190"/>
        <v>1.167100273177157E+131</v>
      </c>
      <c r="NQP53" s="760">
        <f t="shared" si="190"/>
        <v>1.2021132813724718E+131</v>
      </c>
      <c r="NQQ53" s="760">
        <f t="shared" si="190"/>
        <v>1.238176679813646E+131</v>
      </c>
      <c r="NQR53" s="760">
        <f t="shared" si="190"/>
        <v>1.2753219802080553E+131</v>
      </c>
      <c r="NQS53" s="760">
        <f t="shared" si="190"/>
        <v>1.313581639614297E+131</v>
      </c>
      <c r="NQT53" s="760">
        <f t="shared" si="190"/>
        <v>1.352989088802726E+131</v>
      </c>
      <c r="NQU53" s="760">
        <f t="shared" ref="NQU53:NTF53" si="191">+NQT53*$C$53</f>
        <v>1.3935787614668078E+131</v>
      </c>
      <c r="NQV53" s="760">
        <f t="shared" si="191"/>
        <v>1.435386124310812E+131</v>
      </c>
      <c r="NQW53" s="760">
        <f t="shared" si="191"/>
        <v>1.4784477080401363E+131</v>
      </c>
      <c r="NQX53" s="760">
        <f t="shared" si="191"/>
        <v>1.5228011392813404E+131</v>
      </c>
      <c r="NQY53" s="760">
        <f t="shared" si="191"/>
        <v>1.5684851734597807E+131</v>
      </c>
      <c r="NQZ53" s="760">
        <f t="shared" si="191"/>
        <v>1.615539728663574E+131</v>
      </c>
      <c r="NRA53" s="760">
        <f t="shared" si="191"/>
        <v>1.6640059205234814E+131</v>
      </c>
      <c r="NRB53" s="760">
        <f t="shared" si="191"/>
        <v>1.7139260981391858E+131</v>
      </c>
      <c r="NRC53" s="760">
        <f t="shared" si="191"/>
        <v>1.7653438810833615E+131</v>
      </c>
      <c r="NRD53" s="760">
        <f t="shared" si="191"/>
        <v>1.8183041975158624E+131</v>
      </c>
      <c r="NRE53" s="760">
        <f t="shared" si="191"/>
        <v>1.8728533234413383E+131</v>
      </c>
      <c r="NRF53" s="760">
        <f t="shared" si="191"/>
        <v>1.9290389231445785E+131</v>
      </c>
      <c r="NRG53" s="760">
        <f t="shared" si="191"/>
        <v>1.986910090838916E+131</v>
      </c>
      <c r="NRH53" s="760">
        <f t="shared" si="191"/>
        <v>2.0465173935640836E+131</v>
      </c>
      <c r="NRI53" s="760">
        <f t="shared" si="191"/>
        <v>2.1079129153710062E+131</v>
      </c>
      <c r="NRJ53" s="760">
        <f t="shared" si="191"/>
        <v>2.1711503028321362E+131</v>
      </c>
      <c r="NRK53" s="760">
        <f t="shared" si="191"/>
        <v>2.2362848119171005E+131</v>
      </c>
      <c r="NRL53" s="760">
        <f t="shared" si="191"/>
        <v>2.3033733562746135E+131</v>
      </c>
      <c r="NRM53" s="760">
        <f t="shared" si="191"/>
        <v>2.3724745569628518E+131</v>
      </c>
      <c r="NRN53" s="760">
        <f t="shared" si="191"/>
        <v>2.4436487936717374E+131</v>
      </c>
      <c r="NRO53" s="760">
        <f t="shared" si="191"/>
        <v>2.5169582574818897E+131</v>
      </c>
      <c r="NRP53" s="760">
        <f t="shared" si="191"/>
        <v>2.5924670052063466E+131</v>
      </c>
      <c r="NRQ53" s="760">
        <f t="shared" si="191"/>
        <v>2.670241015362537E+131</v>
      </c>
      <c r="NRR53" s="760">
        <f t="shared" si="191"/>
        <v>2.7503482458234131E+131</v>
      </c>
      <c r="NRS53" s="760">
        <f t="shared" si="191"/>
        <v>2.8328586931981158E+131</v>
      </c>
      <c r="NRT53" s="760">
        <f t="shared" si="191"/>
        <v>2.9178444539940592E+131</v>
      </c>
      <c r="NRU53" s="760">
        <f t="shared" si="191"/>
        <v>3.0053797876138811E+131</v>
      </c>
      <c r="NRV53" s="760">
        <f t="shared" si="191"/>
        <v>3.0955411812422976E+131</v>
      </c>
      <c r="NRW53" s="760">
        <f t="shared" si="191"/>
        <v>3.1884074166795666E+131</v>
      </c>
      <c r="NRX53" s="760">
        <f t="shared" si="191"/>
        <v>3.2840596391799538E+131</v>
      </c>
      <c r="NRY53" s="760">
        <f t="shared" si="191"/>
        <v>3.3825814283553523E+131</v>
      </c>
      <c r="NRZ53" s="760">
        <f t="shared" si="191"/>
        <v>3.4840588712060132E+131</v>
      </c>
      <c r="NSA53" s="760">
        <f t="shared" si="191"/>
        <v>3.5885806373421935E+131</v>
      </c>
      <c r="NSB53" s="760">
        <f t="shared" si="191"/>
        <v>3.6962380564624592E+131</v>
      </c>
      <c r="NSC53" s="760">
        <f t="shared" si="191"/>
        <v>3.8071251981563326E+131</v>
      </c>
      <c r="NSD53" s="760">
        <f t="shared" si="191"/>
        <v>3.9213389541010228E+131</v>
      </c>
      <c r="NSE53" s="760">
        <f t="shared" si="191"/>
        <v>4.0389791227240537E+131</v>
      </c>
      <c r="NSF53" s="760">
        <f t="shared" si="191"/>
        <v>4.1601484964057757E+131</v>
      </c>
      <c r="NSG53" s="760">
        <f t="shared" si="191"/>
        <v>4.2849529512979489E+131</v>
      </c>
      <c r="NSH53" s="760">
        <f t="shared" si="191"/>
        <v>4.4135015398368878E+131</v>
      </c>
      <c r="NSI53" s="760">
        <f t="shared" si="191"/>
        <v>4.5459065860319943E+131</v>
      </c>
      <c r="NSJ53" s="760">
        <f t="shared" si="191"/>
        <v>4.6822837836129539E+131</v>
      </c>
      <c r="NSK53" s="760">
        <f t="shared" si="191"/>
        <v>4.8227522971213426E+131</v>
      </c>
      <c r="NSL53" s="760">
        <f t="shared" si="191"/>
        <v>4.9674348660349828E+131</v>
      </c>
      <c r="NSM53" s="760">
        <f t="shared" si="191"/>
        <v>5.1164579120160326E+131</v>
      </c>
      <c r="NSN53" s="760">
        <f t="shared" si="191"/>
        <v>5.269951649376514E+131</v>
      </c>
      <c r="NSO53" s="760">
        <f t="shared" si="191"/>
        <v>5.4280501988578094E+131</v>
      </c>
      <c r="NSP53" s="760">
        <f t="shared" si="191"/>
        <v>5.5908917048235441E+131</v>
      </c>
      <c r="NSQ53" s="760">
        <f t="shared" si="191"/>
        <v>5.758618455968251E+131</v>
      </c>
      <c r="NSR53" s="760">
        <f t="shared" si="191"/>
        <v>5.9313770096472985E+131</v>
      </c>
      <c r="NSS53" s="760">
        <f t="shared" si="191"/>
        <v>6.1093183199367175E+131</v>
      </c>
      <c r="NST53" s="760">
        <f t="shared" si="191"/>
        <v>6.2925978695348188E+131</v>
      </c>
      <c r="NSU53" s="760">
        <f t="shared" si="191"/>
        <v>6.4813758056208633E+131</v>
      </c>
      <c r="NSV53" s="760">
        <f t="shared" si="191"/>
        <v>6.6758170797894891E+131</v>
      </c>
      <c r="NSW53" s="760">
        <f t="shared" si="191"/>
        <v>6.8760915921831738E+131</v>
      </c>
      <c r="NSX53" s="760">
        <f t="shared" si="191"/>
        <v>7.0823743399486692E+131</v>
      </c>
      <c r="NSY53" s="760">
        <f t="shared" si="191"/>
        <v>7.2948455701471301E+131</v>
      </c>
      <c r="NSZ53" s="760">
        <f t="shared" si="191"/>
        <v>7.5136909372515448E+131</v>
      </c>
      <c r="NTA53" s="760">
        <f t="shared" si="191"/>
        <v>7.7391016653690912E+131</v>
      </c>
      <c r="NTB53" s="760">
        <f t="shared" si="191"/>
        <v>7.9712747153301643E+131</v>
      </c>
      <c r="NTC53" s="760">
        <f t="shared" si="191"/>
        <v>8.2104129567900691E+131</v>
      </c>
      <c r="NTD53" s="760">
        <f t="shared" si="191"/>
        <v>8.4567253454937711E+131</v>
      </c>
      <c r="NTE53" s="760">
        <f t="shared" si="191"/>
        <v>8.7104271058585841E+131</v>
      </c>
      <c r="NTF53" s="760">
        <f t="shared" si="191"/>
        <v>8.971739919034342E+131</v>
      </c>
      <c r="NTG53" s="760">
        <f t="shared" ref="NTG53:NVR53" si="192">+NTF53*$C$53</f>
        <v>9.2408921166053718E+131</v>
      </c>
      <c r="NTH53" s="760">
        <f t="shared" si="192"/>
        <v>9.5181188801035337E+131</v>
      </c>
      <c r="NTI53" s="760">
        <f t="shared" si="192"/>
        <v>9.8036624465066406E+131</v>
      </c>
      <c r="NTJ53" s="760">
        <f t="shared" si="192"/>
        <v>1.0097772319901839E+132</v>
      </c>
      <c r="NTK53" s="760">
        <f t="shared" si="192"/>
        <v>1.0400705489498895E+132</v>
      </c>
      <c r="NTL53" s="760">
        <f t="shared" si="192"/>
        <v>1.0712726654183863E+132</v>
      </c>
      <c r="NTM53" s="760">
        <f t="shared" si="192"/>
        <v>1.1034108453809379E+132</v>
      </c>
      <c r="NTN53" s="760">
        <f t="shared" si="192"/>
        <v>1.1365131707423661E+132</v>
      </c>
      <c r="NTO53" s="760">
        <f t="shared" si="192"/>
        <v>1.1706085658646372E+132</v>
      </c>
      <c r="NTP53" s="760">
        <f t="shared" si="192"/>
        <v>1.2057268228405763E+132</v>
      </c>
      <c r="NTQ53" s="760">
        <f t="shared" si="192"/>
        <v>1.2418986275257936E+132</v>
      </c>
      <c r="NTR53" s="760">
        <f t="shared" si="192"/>
        <v>1.2791555863515674E+132</v>
      </c>
      <c r="NTS53" s="760">
        <f t="shared" si="192"/>
        <v>1.3175302539421145E+132</v>
      </c>
      <c r="NTT53" s="760">
        <f t="shared" si="192"/>
        <v>1.3570561615603781E+132</v>
      </c>
      <c r="NTU53" s="760">
        <f t="shared" si="192"/>
        <v>1.3977678464071894E+132</v>
      </c>
      <c r="NTV53" s="760">
        <f t="shared" si="192"/>
        <v>1.4397008817994051E+132</v>
      </c>
      <c r="NTW53" s="760">
        <f t="shared" si="192"/>
        <v>1.4828919082533871E+132</v>
      </c>
      <c r="NTX53" s="760">
        <f t="shared" si="192"/>
        <v>1.5273786655009888E+132</v>
      </c>
      <c r="NTY53" s="760">
        <f t="shared" si="192"/>
        <v>1.5732000254660187E+132</v>
      </c>
      <c r="NTZ53" s="760">
        <f t="shared" si="192"/>
        <v>1.6203960262299994E+132</v>
      </c>
      <c r="NUA53" s="760">
        <f t="shared" si="192"/>
        <v>1.6690079070168994E+132</v>
      </c>
      <c r="NUB53" s="760">
        <f t="shared" si="192"/>
        <v>1.7190781442274065E+132</v>
      </c>
      <c r="NUC53" s="760">
        <f t="shared" si="192"/>
        <v>1.7706504885542287E+132</v>
      </c>
      <c r="NUD53" s="760">
        <f t="shared" si="192"/>
        <v>1.8237700032108556E+132</v>
      </c>
      <c r="NUE53" s="760">
        <f t="shared" si="192"/>
        <v>1.8784831033071814E+132</v>
      </c>
      <c r="NUF53" s="760">
        <f t="shared" si="192"/>
        <v>1.9348375964063969E+132</v>
      </c>
      <c r="NUG53" s="760">
        <f t="shared" si="192"/>
        <v>1.9928827242985888E+132</v>
      </c>
      <c r="NUH53" s="760">
        <f t="shared" si="192"/>
        <v>2.0526692060275465E+132</v>
      </c>
      <c r="NUI53" s="760">
        <f t="shared" si="192"/>
        <v>2.1142492822083729E+132</v>
      </c>
      <c r="NUJ53" s="760">
        <f t="shared" si="192"/>
        <v>2.1776767606746242E+132</v>
      </c>
      <c r="NUK53" s="760">
        <f t="shared" si="192"/>
        <v>2.2430070634948631E+132</v>
      </c>
      <c r="NUL53" s="760">
        <f t="shared" si="192"/>
        <v>2.310297275399709E+132</v>
      </c>
      <c r="NUM53" s="760">
        <f t="shared" si="192"/>
        <v>2.3796061936617004E+132</v>
      </c>
      <c r="NUN53" s="760">
        <f t="shared" si="192"/>
        <v>2.4509943794715513E+132</v>
      </c>
      <c r="NUO53" s="760">
        <f t="shared" si="192"/>
        <v>2.524524210855698E+132</v>
      </c>
      <c r="NUP53" s="760">
        <f t="shared" si="192"/>
        <v>2.6002599371813691E+132</v>
      </c>
      <c r="NUQ53" s="760">
        <f t="shared" si="192"/>
        <v>2.6782677352968103E+132</v>
      </c>
      <c r="NUR53" s="760">
        <f t="shared" si="192"/>
        <v>2.7586157673557148E+132</v>
      </c>
      <c r="NUS53" s="760">
        <f t="shared" si="192"/>
        <v>2.8413742403763864E+132</v>
      </c>
      <c r="NUT53" s="760">
        <f t="shared" si="192"/>
        <v>2.9266154675876778E+132</v>
      </c>
      <c r="NUU53" s="760">
        <f t="shared" si="192"/>
        <v>3.0144139316153081E+132</v>
      </c>
      <c r="NUV53" s="760">
        <f t="shared" si="192"/>
        <v>3.1048463495637674E+132</v>
      </c>
      <c r="NUW53" s="760">
        <f t="shared" si="192"/>
        <v>3.1979917400506806E+132</v>
      </c>
      <c r="NUX53" s="760">
        <f t="shared" si="192"/>
        <v>3.2939314922522008E+132</v>
      </c>
      <c r="NUY53" s="760">
        <f t="shared" si="192"/>
        <v>3.3927494370197672E+132</v>
      </c>
      <c r="NUZ53" s="760">
        <f t="shared" si="192"/>
        <v>3.4945319201303604E+132</v>
      </c>
      <c r="NVA53" s="760">
        <f t="shared" si="192"/>
        <v>3.599367877734271E+132</v>
      </c>
      <c r="NVB53" s="760">
        <f t="shared" si="192"/>
        <v>3.7073489140662991E+132</v>
      </c>
      <c r="NVC53" s="760">
        <f t="shared" si="192"/>
        <v>3.8185693814882884E+132</v>
      </c>
      <c r="NVD53" s="760">
        <f t="shared" si="192"/>
        <v>3.9331264629329371E+132</v>
      </c>
      <c r="NVE53" s="760">
        <f t="shared" si="192"/>
        <v>4.0511202568209253E+132</v>
      </c>
      <c r="NVF53" s="760">
        <f t="shared" si="192"/>
        <v>4.1726538645255534E+132</v>
      </c>
      <c r="NVG53" s="760">
        <f t="shared" si="192"/>
        <v>4.2978334804613199E+132</v>
      </c>
      <c r="NVH53" s="760">
        <f t="shared" si="192"/>
        <v>4.4267684848751596E+132</v>
      </c>
      <c r="NVI53" s="760">
        <f t="shared" si="192"/>
        <v>4.5595715394214146E+132</v>
      </c>
      <c r="NVJ53" s="760">
        <f t="shared" si="192"/>
        <v>4.6963586856040574E+132</v>
      </c>
      <c r="NVK53" s="760">
        <f t="shared" si="192"/>
        <v>4.8372494461721789E+132</v>
      </c>
      <c r="NVL53" s="760">
        <f t="shared" si="192"/>
        <v>4.9823669295573442E+132</v>
      </c>
      <c r="NVM53" s="760">
        <f t="shared" si="192"/>
        <v>5.1318379374440645E+132</v>
      </c>
      <c r="NVN53" s="760">
        <f t="shared" si="192"/>
        <v>5.2857930755673863E+132</v>
      </c>
      <c r="NVO53" s="760">
        <f t="shared" si="192"/>
        <v>5.4443668678344081E+132</v>
      </c>
      <c r="NVP53" s="760">
        <f t="shared" si="192"/>
        <v>5.6076978738694403E+132</v>
      </c>
      <c r="NVQ53" s="760">
        <f t="shared" si="192"/>
        <v>5.7759288100855234E+132</v>
      </c>
      <c r="NVR53" s="760">
        <f t="shared" si="192"/>
        <v>5.9492066743880892E+132</v>
      </c>
      <c r="NVS53" s="760">
        <f t="shared" ref="NVS53:NYD53" si="193">+NVR53*$C$53</f>
        <v>6.127682874619732E+132</v>
      </c>
      <c r="NVT53" s="760">
        <f t="shared" si="193"/>
        <v>6.3115133608583241E+132</v>
      </c>
      <c r="NVU53" s="760">
        <f t="shared" si="193"/>
        <v>6.5008587616840744E+132</v>
      </c>
      <c r="NVV53" s="760">
        <f t="shared" si="193"/>
        <v>6.6958845245345974E+132</v>
      </c>
      <c r="NVW53" s="760">
        <f t="shared" si="193"/>
        <v>6.8967610602706355E+132</v>
      </c>
      <c r="NVX53" s="760">
        <f t="shared" si="193"/>
        <v>7.1036638920787547E+132</v>
      </c>
      <c r="NVY53" s="760">
        <f t="shared" si="193"/>
        <v>7.3167738088411181E+132</v>
      </c>
      <c r="NVZ53" s="760">
        <f t="shared" si="193"/>
        <v>7.536277023106352E+132</v>
      </c>
      <c r="NWA53" s="760">
        <f t="shared" si="193"/>
        <v>7.7623653337995431E+132</v>
      </c>
      <c r="NWB53" s="760">
        <f t="shared" si="193"/>
        <v>7.9952362938135299E+132</v>
      </c>
      <c r="NWC53" s="760">
        <f t="shared" si="193"/>
        <v>8.2350933826279358E+132</v>
      </c>
      <c r="NWD53" s="760">
        <f t="shared" si="193"/>
        <v>8.4821461841067739E+132</v>
      </c>
      <c r="NWE53" s="760">
        <f t="shared" si="193"/>
        <v>8.7366105696299774E+132</v>
      </c>
      <c r="NWF53" s="760">
        <f t="shared" si="193"/>
        <v>8.9987088867188774E+132</v>
      </c>
      <c r="NWG53" s="760">
        <f t="shared" si="193"/>
        <v>9.2686701533204434E+132</v>
      </c>
      <c r="NWH53" s="760">
        <f t="shared" si="193"/>
        <v>9.546730257920057E+132</v>
      </c>
      <c r="NWI53" s="760">
        <f t="shared" si="193"/>
        <v>9.8331321656576584E+132</v>
      </c>
      <c r="NWJ53" s="760">
        <f t="shared" si="193"/>
        <v>1.0128126130627388E+133</v>
      </c>
      <c r="NWK53" s="760">
        <f t="shared" si="193"/>
        <v>1.043196991454621E+133</v>
      </c>
      <c r="NWL53" s="760">
        <f t="shared" si="193"/>
        <v>1.0744929011982596E+133</v>
      </c>
      <c r="NWM53" s="760">
        <f t="shared" si="193"/>
        <v>1.1067276882342075E+133</v>
      </c>
      <c r="NWN53" s="760">
        <f t="shared" si="193"/>
        <v>1.1399295188812337E+133</v>
      </c>
      <c r="NWO53" s="760">
        <f t="shared" si="193"/>
        <v>1.1741274044476708E+133</v>
      </c>
      <c r="NWP53" s="760">
        <f t="shared" si="193"/>
        <v>1.2093512265811009E+133</v>
      </c>
      <c r="NWQ53" s="760">
        <f t="shared" si="193"/>
        <v>1.245631763378534E+133</v>
      </c>
      <c r="NWR53" s="760">
        <f t="shared" si="193"/>
        <v>1.2830007162798902E+133</v>
      </c>
      <c r="NWS53" s="760">
        <f t="shared" si="193"/>
        <v>1.3214907377682869E+133</v>
      </c>
      <c r="NWT53" s="760">
        <f t="shared" si="193"/>
        <v>1.3611354599013354E+133</v>
      </c>
      <c r="NWU53" s="760">
        <f t="shared" si="193"/>
        <v>1.4019695236983755E+133</v>
      </c>
      <c r="NWV53" s="760">
        <f t="shared" si="193"/>
        <v>1.4440286094093268E+133</v>
      </c>
      <c r="NWW53" s="760">
        <f t="shared" si="193"/>
        <v>1.4873494676916066E+133</v>
      </c>
      <c r="NWX53" s="760">
        <f t="shared" si="193"/>
        <v>1.5319699517223548E+133</v>
      </c>
      <c r="NWY53" s="760">
        <f t="shared" si="193"/>
        <v>1.5779290502740255E+133</v>
      </c>
      <c r="NWZ53" s="760">
        <f t="shared" si="193"/>
        <v>1.6252669217822464E+133</v>
      </c>
      <c r="NXA53" s="760">
        <f t="shared" si="193"/>
        <v>1.6740249294357139E+133</v>
      </c>
      <c r="NXB53" s="760">
        <f t="shared" si="193"/>
        <v>1.7242456773187855E+133</v>
      </c>
      <c r="NXC53" s="760">
        <f t="shared" si="193"/>
        <v>1.7759730476383492E+133</v>
      </c>
      <c r="NXD53" s="760">
        <f t="shared" si="193"/>
        <v>1.8292522390674997E+133</v>
      </c>
      <c r="NXE53" s="760">
        <f t="shared" si="193"/>
        <v>1.8841298062395247E+133</v>
      </c>
      <c r="NXF53" s="760">
        <f t="shared" si="193"/>
        <v>1.9406537004267104E+133</v>
      </c>
      <c r="NXG53" s="760">
        <f t="shared" si="193"/>
        <v>1.9988733114395117E+133</v>
      </c>
      <c r="NXH53" s="760">
        <f t="shared" si="193"/>
        <v>2.0588395107826971E+133</v>
      </c>
      <c r="NXI53" s="760">
        <f t="shared" si="193"/>
        <v>2.1206046961061779E+133</v>
      </c>
      <c r="NXJ53" s="760">
        <f t="shared" si="193"/>
        <v>2.1842228369893634E+133</v>
      </c>
      <c r="NXK53" s="760">
        <f t="shared" si="193"/>
        <v>2.2497495220990444E+133</v>
      </c>
      <c r="NXL53" s="760">
        <f t="shared" si="193"/>
        <v>2.3172420077620156E+133</v>
      </c>
      <c r="NXM53" s="760">
        <f t="shared" si="193"/>
        <v>2.3867592679948762E+133</v>
      </c>
      <c r="NXN53" s="760">
        <f t="shared" si="193"/>
        <v>2.4583620460347226E+133</v>
      </c>
      <c r="NXO53" s="760">
        <f t="shared" si="193"/>
        <v>2.5321129074157642E+133</v>
      </c>
      <c r="NXP53" s="760">
        <f t="shared" si="193"/>
        <v>2.608076294638237E+133</v>
      </c>
      <c r="NXQ53" s="760">
        <f t="shared" si="193"/>
        <v>2.6863185834773844E+133</v>
      </c>
      <c r="NXR53" s="760">
        <f t="shared" si="193"/>
        <v>2.7669081409817058E+133</v>
      </c>
      <c r="NXS53" s="760">
        <f t="shared" si="193"/>
        <v>2.8499153852111573E+133</v>
      </c>
      <c r="NXT53" s="760">
        <f t="shared" si="193"/>
        <v>2.9354128467674923E+133</v>
      </c>
      <c r="NXU53" s="760">
        <f t="shared" si="193"/>
        <v>3.0234752321705174E+133</v>
      </c>
      <c r="NXV53" s="760">
        <f t="shared" si="193"/>
        <v>3.1141794891356329E+133</v>
      </c>
      <c r="NXW53" s="760">
        <f t="shared" si="193"/>
        <v>3.2076048738097017E+133</v>
      </c>
      <c r="NXX53" s="760">
        <f t="shared" si="193"/>
        <v>3.303833020023993E+133</v>
      </c>
      <c r="NXY53" s="760">
        <f t="shared" si="193"/>
        <v>3.4029480106247131E+133</v>
      </c>
      <c r="NXZ53" s="760">
        <f t="shared" si="193"/>
        <v>3.5050364509434546E+133</v>
      </c>
      <c r="NYA53" s="760">
        <f t="shared" si="193"/>
        <v>3.6101875444717583E+133</v>
      </c>
      <c r="NYB53" s="760">
        <f t="shared" si="193"/>
        <v>3.7184931708059112E+133</v>
      </c>
      <c r="NYC53" s="760">
        <f t="shared" si="193"/>
        <v>3.8300479659300889E+133</v>
      </c>
      <c r="NYD53" s="760">
        <f t="shared" si="193"/>
        <v>3.9449494049079917E+133</v>
      </c>
      <c r="NYE53" s="760">
        <f t="shared" ref="NYE53:OAP53" si="194">+NYD53*$C$53</f>
        <v>4.0632978870552316E+133</v>
      </c>
      <c r="NYF53" s="760">
        <f t="shared" si="194"/>
        <v>4.1851968236668888E+133</v>
      </c>
      <c r="NYG53" s="760">
        <f t="shared" si="194"/>
        <v>4.3107527283768957E+133</v>
      </c>
      <c r="NYH53" s="760">
        <f t="shared" si="194"/>
        <v>4.4400753102282027E+133</v>
      </c>
      <c r="NYI53" s="760">
        <f t="shared" si="194"/>
        <v>4.573277569535049E+133</v>
      </c>
      <c r="NYJ53" s="760">
        <f t="shared" si="194"/>
        <v>4.710475896621101E+133</v>
      </c>
      <c r="NYK53" s="760">
        <f t="shared" si="194"/>
        <v>4.8517901735197344E+133</v>
      </c>
      <c r="NYL53" s="760">
        <f t="shared" si="194"/>
        <v>4.997343878725327E+133</v>
      </c>
      <c r="NYM53" s="760">
        <f t="shared" si="194"/>
        <v>5.1472641950870869E+133</v>
      </c>
      <c r="NYN53" s="760">
        <f t="shared" si="194"/>
        <v>5.3016821209396994E+133</v>
      </c>
      <c r="NYO53" s="760">
        <f t="shared" si="194"/>
        <v>5.460732584567891E+133</v>
      </c>
      <c r="NYP53" s="760">
        <f t="shared" si="194"/>
        <v>5.6245545621049277E+133</v>
      </c>
      <c r="NYQ53" s="760">
        <f t="shared" si="194"/>
        <v>5.793291198968076E+133</v>
      </c>
      <c r="NYR53" s="760">
        <f t="shared" si="194"/>
        <v>5.9670899349371187E+133</v>
      </c>
      <c r="NYS53" s="760">
        <f t="shared" si="194"/>
        <v>6.1461026329852326E+133</v>
      </c>
      <c r="NYT53" s="760">
        <f t="shared" si="194"/>
        <v>6.3304857119747893E+133</v>
      </c>
      <c r="NYU53" s="760">
        <f t="shared" si="194"/>
        <v>6.5204002833340335E+133</v>
      </c>
      <c r="NYV53" s="760">
        <f t="shared" si="194"/>
        <v>6.7160122918340544E+133</v>
      </c>
      <c r="NYW53" s="760">
        <f t="shared" si="194"/>
        <v>6.9174926605890767E+133</v>
      </c>
      <c r="NYX53" s="760">
        <f t="shared" si="194"/>
        <v>7.1250174404067495E+133</v>
      </c>
      <c r="NYY53" s="760">
        <f t="shared" si="194"/>
        <v>7.3387679636189519E+133</v>
      </c>
      <c r="NYZ53" s="760">
        <f t="shared" si="194"/>
        <v>7.558931002527521E+133</v>
      </c>
      <c r="NZA53" s="760">
        <f t="shared" si="194"/>
        <v>7.7856989326033466E+133</v>
      </c>
      <c r="NZB53" s="760">
        <f t="shared" si="194"/>
        <v>8.0192699005814467E+133</v>
      </c>
      <c r="NZC53" s="760">
        <f t="shared" si="194"/>
        <v>8.2598479975988901E+133</v>
      </c>
      <c r="NZD53" s="760">
        <f t="shared" si="194"/>
        <v>8.5076434375268569E+133</v>
      </c>
      <c r="NZE53" s="760">
        <f t="shared" si="194"/>
        <v>8.7628727406526626E+133</v>
      </c>
      <c r="NZF53" s="760">
        <f t="shared" si="194"/>
        <v>9.0257589228722432E+133</v>
      </c>
      <c r="NZG53" s="760">
        <f t="shared" si="194"/>
        <v>9.2965316905584115E+133</v>
      </c>
      <c r="NZH53" s="760">
        <f t="shared" si="194"/>
        <v>9.5754276412751631E+133</v>
      </c>
      <c r="NZI53" s="760">
        <f t="shared" si="194"/>
        <v>9.8626904705134176E+133</v>
      </c>
      <c r="NZJ53" s="760">
        <f t="shared" si="194"/>
        <v>1.015857118462882E+134</v>
      </c>
      <c r="NZK53" s="760">
        <f t="shared" si="194"/>
        <v>1.0463328320167684E+134</v>
      </c>
      <c r="NZL53" s="760">
        <f t="shared" si="194"/>
        <v>1.0777228169772715E+134</v>
      </c>
      <c r="NZM53" s="760">
        <f t="shared" si="194"/>
        <v>1.1100545014865897E+134</v>
      </c>
      <c r="NZN53" s="760">
        <f t="shared" si="194"/>
        <v>1.1433561365311874E+134</v>
      </c>
      <c r="NZO53" s="760">
        <f t="shared" si="194"/>
        <v>1.1776568206271231E+134</v>
      </c>
      <c r="NZP53" s="760">
        <f t="shared" si="194"/>
        <v>1.2129865252459369E+134</v>
      </c>
      <c r="NZQ53" s="760">
        <f t="shared" si="194"/>
        <v>1.2493761210033151E+134</v>
      </c>
      <c r="NZR53" s="760">
        <f t="shared" si="194"/>
        <v>1.2868574046334146E+134</v>
      </c>
      <c r="NZS53" s="760">
        <f t="shared" si="194"/>
        <v>1.3254631267724171E+134</v>
      </c>
      <c r="NZT53" s="760">
        <f t="shared" si="194"/>
        <v>1.3652270205755896E+134</v>
      </c>
      <c r="NZU53" s="760">
        <f t="shared" si="194"/>
        <v>1.4061838311928575E+134</v>
      </c>
      <c r="NZV53" s="760">
        <f t="shared" si="194"/>
        <v>1.4483693461286432E+134</v>
      </c>
      <c r="NZW53" s="760">
        <f t="shared" si="194"/>
        <v>1.4918204265125025E+134</v>
      </c>
      <c r="NZX53" s="760">
        <f t="shared" si="194"/>
        <v>1.5365750393078776E+134</v>
      </c>
      <c r="NZY53" s="760">
        <f t="shared" si="194"/>
        <v>1.582672290487114E+134</v>
      </c>
      <c r="NZZ53" s="760">
        <f t="shared" si="194"/>
        <v>1.6301524592017275E+134</v>
      </c>
      <c r="OAA53" s="760">
        <f t="shared" si="194"/>
        <v>1.6790570329777794E+134</v>
      </c>
      <c r="OAB53" s="760">
        <f t="shared" si="194"/>
        <v>1.7294287439671129E+134</v>
      </c>
      <c r="OAC53" s="760">
        <f t="shared" si="194"/>
        <v>1.7813116062861263E+134</v>
      </c>
      <c r="OAD53" s="760">
        <f t="shared" si="194"/>
        <v>1.8347509544747099E+134</v>
      </c>
      <c r="OAE53" s="760">
        <f t="shared" si="194"/>
        <v>1.8897934831089512E+134</v>
      </c>
      <c r="OAF53" s="760">
        <f t="shared" si="194"/>
        <v>1.9464872876022198E+134</v>
      </c>
      <c r="OAG53" s="760">
        <f t="shared" si="194"/>
        <v>2.0048819062302866E+134</v>
      </c>
      <c r="OAH53" s="760">
        <f t="shared" si="194"/>
        <v>2.0650283634171952E+134</v>
      </c>
      <c r="OAI53" s="760">
        <f t="shared" si="194"/>
        <v>2.1269792143197112E+134</v>
      </c>
      <c r="OAJ53" s="760">
        <f t="shared" si="194"/>
        <v>2.1907885907493026E+134</v>
      </c>
      <c r="OAK53" s="760">
        <f t="shared" si="194"/>
        <v>2.2565122484717818E+134</v>
      </c>
      <c r="OAL53" s="760">
        <f t="shared" si="194"/>
        <v>2.3242076159259351E+134</v>
      </c>
      <c r="OAM53" s="760">
        <f t="shared" si="194"/>
        <v>2.3939338444037132E+134</v>
      </c>
      <c r="OAN53" s="760">
        <f t="shared" si="194"/>
        <v>2.4657518597358247E+134</v>
      </c>
      <c r="OAO53" s="760">
        <f t="shared" si="194"/>
        <v>2.5397244155278997E+134</v>
      </c>
      <c r="OAP53" s="760">
        <f t="shared" si="194"/>
        <v>2.6159161479937366E+134</v>
      </c>
      <c r="OAQ53" s="760">
        <f t="shared" ref="OAQ53:ODB53" si="195">+OAP53*$C$53</f>
        <v>2.6943936324335488E+134</v>
      </c>
      <c r="OAR53" s="760">
        <f t="shared" si="195"/>
        <v>2.7752254414065552E+134</v>
      </c>
      <c r="OAS53" s="760">
        <f t="shared" si="195"/>
        <v>2.8584822046487519E+134</v>
      </c>
      <c r="OAT53" s="760">
        <f t="shared" si="195"/>
        <v>2.9442366707882146E+134</v>
      </c>
      <c r="OAU53" s="760">
        <f t="shared" si="195"/>
        <v>3.0325637709118613E+134</v>
      </c>
      <c r="OAV53" s="760">
        <f t="shared" si="195"/>
        <v>3.1235406840392171E+134</v>
      </c>
      <c r="OAW53" s="760">
        <f t="shared" si="195"/>
        <v>3.2172469045603936E+134</v>
      </c>
      <c r="OAX53" s="760">
        <f t="shared" si="195"/>
        <v>3.3137643116972055E+134</v>
      </c>
      <c r="OAY53" s="760">
        <f t="shared" si="195"/>
        <v>3.4131772410481219E+134</v>
      </c>
      <c r="OAZ53" s="760">
        <f t="shared" si="195"/>
        <v>3.5155725582795656E+134</v>
      </c>
      <c r="OBA53" s="760">
        <f t="shared" si="195"/>
        <v>3.6210397350279526E+134</v>
      </c>
      <c r="OBB53" s="760">
        <f t="shared" si="195"/>
        <v>3.729670927078791E+134</v>
      </c>
      <c r="OBC53" s="760">
        <f t="shared" si="195"/>
        <v>3.8415610548911545E+134</v>
      </c>
      <c r="OBD53" s="760">
        <f t="shared" si="195"/>
        <v>3.9568078865378896E+134</v>
      </c>
      <c r="OBE53" s="760">
        <f t="shared" si="195"/>
        <v>4.0755121231340263E+134</v>
      </c>
      <c r="OBF53" s="760">
        <f t="shared" si="195"/>
        <v>4.1977774868280475E+134</v>
      </c>
      <c r="OBG53" s="760">
        <f t="shared" si="195"/>
        <v>4.3237108114328888E+134</v>
      </c>
      <c r="OBH53" s="760">
        <f t="shared" si="195"/>
        <v>4.4534221357758753E+134</v>
      </c>
      <c r="OBI53" s="760">
        <f t="shared" si="195"/>
        <v>4.5870247998491518E+134</v>
      </c>
      <c r="OBJ53" s="760">
        <f t="shared" si="195"/>
        <v>4.7246355438446265E+134</v>
      </c>
      <c r="OBK53" s="760">
        <f t="shared" si="195"/>
        <v>4.8663746101599652E+134</v>
      </c>
      <c r="OBL53" s="760">
        <f t="shared" si="195"/>
        <v>5.0123658484647646E+134</v>
      </c>
      <c r="OBM53" s="760">
        <f t="shared" si="195"/>
        <v>5.1627368239187073E+134</v>
      </c>
      <c r="OBN53" s="760">
        <f t="shared" si="195"/>
        <v>5.317618928636269E+134</v>
      </c>
      <c r="OBO53" s="760">
        <f t="shared" si="195"/>
        <v>5.4771474964953575E+134</v>
      </c>
      <c r="OBP53" s="760">
        <f t="shared" si="195"/>
        <v>5.6414619213902182E+134</v>
      </c>
      <c r="OBQ53" s="760">
        <f t="shared" si="195"/>
        <v>5.8107057790319246E+134</v>
      </c>
      <c r="OBR53" s="760">
        <f t="shared" si="195"/>
        <v>5.9850269524028828E+134</v>
      </c>
      <c r="OBS53" s="760">
        <f t="shared" si="195"/>
        <v>6.1645777609749698E+134</v>
      </c>
      <c r="OBT53" s="760">
        <f t="shared" si="195"/>
        <v>6.3495150938042187E+134</v>
      </c>
      <c r="OBU53" s="760">
        <f t="shared" si="195"/>
        <v>6.5400005466183458E+134</v>
      </c>
      <c r="OBV53" s="760">
        <f t="shared" si="195"/>
        <v>6.7362005630168966E+134</v>
      </c>
      <c r="OBW53" s="760">
        <f t="shared" si="195"/>
        <v>6.9382865799074039E+134</v>
      </c>
      <c r="OBX53" s="760">
        <f t="shared" si="195"/>
        <v>7.1464351773046263E+134</v>
      </c>
      <c r="OBY53" s="760">
        <f t="shared" si="195"/>
        <v>7.3608282326237645E+134</v>
      </c>
      <c r="OBZ53" s="760">
        <f t="shared" si="195"/>
        <v>7.5816530796024771E+134</v>
      </c>
      <c r="OCA53" s="760">
        <f t="shared" si="195"/>
        <v>7.8091026719905518E+134</v>
      </c>
      <c r="OCB53" s="760">
        <f t="shared" si="195"/>
        <v>8.0433757521502678E+134</v>
      </c>
      <c r="OCC53" s="760">
        <f t="shared" si="195"/>
        <v>8.2846770247147767E+134</v>
      </c>
      <c r="OCD53" s="760">
        <f t="shared" si="195"/>
        <v>8.5332173354562199E+134</v>
      </c>
      <c r="OCE53" s="760">
        <f t="shared" si="195"/>
        <v>8.7892138555199064E+134</v>
      </c>
      <c r="OCF53" s="760">
        <f t="shared" si="195"/>
        <v>9.0528902711855046E+134</v>
      </c>
      <c r="OCG53" s="760">
        <f t="shared" si="195"/>
        <v>9.3244769793210698E+134</v>
      </c>
      <c r="OCH53" s="760">
        <f t="shared" si="195"/>
        <v>9.6042112887007029E+134</v>
      </c>
      <c r="OCI53" s="760">
        <f t="shared" si="195"/>
        <v>9.8923376273617238E+134</v>
      </c>
      <c r="OCJ53" s="760">
        <f t="shared" si="195"/>
        <v>1.0189107756182577E+135</v>
      </c>
      <c r="OCK53" s="760">
        <f t="shared" si="195"/>
        <v>1.0494780988868055E+135</v>
      </c>
      <c r="OCL53" s="760">
        <f t="shared" si="195"/>
        <v>1.0809624418534097E+135</v>
      </c>
      <c r="OCM53" s="760">
        <f t="shared" si="195"/>
        <v>1.113391315109012E+135</v>
      </c>
      <c r="OCN53" s="760">
        <f t="shared" si="195"/>
        <v>1.1467930545622823E+135</v>
      </c>
      <c r="OCO53" s="760">
        <f t="shared" si="195"/>
        <v>1.1811968461991508E+135</v>
      </c>
      <c r="OCP53" s="760">
        <f t="shared" si="195"/>
        <v>1.2166327515851254E+135</v>
      </c>
      <c r="OCQ53" s="760">
        <f t="shared" si="195"/>
        <v>1.2531317341326791E+135</v>
      </c>
      <c r="OCR53" s="760">
        <f t="shared" si="195"/>
        <v>1.2907256861566596E+135</v>
      </c>
      <c r="OCS53" s="760">
        <f t="shared" si="195"/>
        <v>1.3294474567413595E+135</v>
      </c>
      <c r="OCT53" s="760">
        <f t="shared" si="195"/>
        <v>1.3693308804436003E+135</v>
      </c>
      <c r="OCU53" s="760">
        <f t="shared" si="195"/>
        <v>1.4104108068569084E+135</v>
      </c>
      <c r="OCV53" s="760">
        <f t="shared" si="195"/>
        <v>1.4527231310626156E+135</v>
      </c>
      <c r="OCW53" s="760">
        <f t="shared" si="195"/>
        <v>1.4963048249944942E+135</v>
      </c>
      <c r="OCX53" s="760">
        <f t="shared" si="195"/>
        <v>1.5411939697443291E+135</v>
      </c>
      <c r="OCY53" s="760">
        <f t="shared" si="195"/>
        <v>1.587429788836659E+135</v>
      </c>
      <c r="OCZ53" s="760">
        <f t="shared" si="195"/>
        <v>1.6350526825017587E+135</v>
      </c>
      <c r="ODA53" s="760">
        <f t="shared" si="195"/>
        <v>1.6841042629768114E+135</v>
      </c>
      <c r="ODB53" s="760">
        <f t="shared" si="195"/>
        <v>1.7346273908661159E+135</v>
      </c>
      <c r="ODC53" s="760">
        <f t="shared" ref="ODC53:OFN53" si="196">+ODB53*$C$53</f>
        <v>1.7866662125920994E+135</v>
      </c>
      <c r="ODD53" s="760">
        <f t="shared" si="196"/>
        <v>1.8402661989698625E+135</v>
      </c>
      <c r="ODE53" s="760">
        <f t="shared" si="196"/>
        <v>1.8954741849389583E+135</v>
      </c>
      <c r="ODF53" s="760">
        <f t="shared" si="196"/>
        <v>1.952338410487127E+135</v>
      </c>
      <c r="ODG53" s="760">
        <f t="shared" si="196"/>
        <v>2.0109085628017407E+135</v>
      </c>
      <c r="ODH53" s="760">
        <f t="shared" si="196"/>
        <v>2.071235819685793E+135</v>
      </c>
      <c r="ODI53" s="760">
        <f t="shared" si="196"/>
        <v>2.1333728942763668E+135</v>
      </c>
      <c r="ODJ53" s="760">
        <f t="shared" si="196"/>
        <v>2.197374081104658E+135</v>
      </c>
      <c r="ODK53" s="760">
        <f t="shared" si="196"/>
        <v>2.263295303537798E+135</v>
      </c>
      <c r="ODL53" s="760">
        <f t="shared" si="196"/>
        <v>2.3311941626439319E+135</v>
      </c>
      <c r="ODM53" s="760">
        <f t="shared" si="196"/>
        <v>2.40112998752325E+135</v>
      </c>
      <c r="ODN53" s="760">
        <f t="shared" si="196"/>
        <v>2.4731638871489476E+135</v>
      </c>
      <c r="ODO53" s="760">
        <f t="shared" si="196"/>
        <v>2.5473588037634161E+135</v>
      </c>
      <c r="ODP53" s="760">
        <f t="shared" si="196"/>
        <v>2.6237795678763187E+135</v>
      </c>
      <c r="ODQ53" s="760">
        <f t="shared" si="196"/>
        <v>2.7024929549126083E+135</v>
      </c>
      <c r="ODR53" s="760">
        <f t="shared" si="196"/>
        <v>2.7835677435599867E+135</v>
      </c>
      <c r="ODS53" s="760">
        <f t="shared" si="196"/>
        <v>2.8670747758667865E+135</v>
      </c>
      <c r="ODT53" s="760">
        <f t="shared" si="196"/>
        <v>2.95308701914279E+135</v>
      </c>
      <c r="ODU53" s="760">
        <f t="shared" si="196"/>
        <v>3.0416796297170736E+135</v>
      </c>
      <c r="ODV53" s="760">
        <f t="shared" si="196"/>
        <v>3.1329300186085862E+135</v>
      </c>
      <c r="ODW53" s="760">
        <f t="shared" si="196"/>
        <v>3.2269179191668437E+135</v>
      </c>
      <c r="ODX53" s="760">
        <f t="shared" si="196"/>
        <v>3.3237254567418491E+135</v>
      </c>
      <c r="ODY53" s="760">
        <f t="shared" si="196"/>
        <v>3.4234372204441045E+135</v>
      </c>
      <c r="ODZ53" s="760">
        <f t="shared" si="196"/>
        <v>3.5261403370574278E+135</v>
      </c>
      <c r="OEA53" s="760">
        <f t="shared" si="196"/>
        <v>3.6319245471691508E+135</v>
      </c>
      <c r="OEB53" s="760">
        <f t="shared" si="196"/>
        <v>3.7408822835842252E+135</v>
      </c>
      <c r="OEC53" s="760">
        <f t="shared" si="196"/>
        <v>3.853108752091752E+135</v>
      </c>
      <c r="OED53" s="760">
        <f t="shared" si="196"/>
        <v>3.9687020146545046E+135</v>
      </c>
      <c r="OEE53" s="760">
        <f t="shared" si="196"/>
        <v>4.0877630750941398E+135</v>
      </c>
      <c r="OEF53" s="760">
        <f t="shared" si="196"/>
        <v>4.2103959673469641E+135</v>
      </c>
      <c r="OEG53" s="760">
        <f t="shared" si="196"/>
        <v>4.3367078463673735E+135</v>
      </c>
      <c r="OEH53" s="760">
        <f t="shared" si="196"/>
        <v>4.4668090817583949E+135</v>
      </c>
      <c r="OEI53" s="760">
        <f t="shared" si="196"/>
        <v>4.6008133542111469E+135</v>
      </c>
      <c r="OEJ53" s="760">
        <f t="shared" si="196"/>
        <v>4.7388377548374817E+135</v>
      </c>
      <c r="OEK53" s="760">
        <f t="shared" si="196"/>
        <v>4.8810028874826062E+135</v>
      </c>
      <c r="OEL53" s="760">
        <f t="shared" si="196"/>
        <v>5.0274329741070845E+135</v>
      </c>
      <c r="OEM53" s="760">
        <f t="shared" si="196"/>
        <v>5.1782559633302974E+135</v>
      </c>
      <c r="OEN53" s="760">
        <f t="shared" si="196"/>
        <v>5.3336036422302062E+135</v>
      </c>
      <c r="OEO53" s="760">
        <f t="shared" si="196"/>
        <v>5.4936117514971125E+135</v>
      </c>
      <c r="OEP53" s="760">
        <f t="shared" si="196"/>
        <v>5.6584201040420258E+135</v>
      </c>
      <c r="OEQ53" s="760">
        <f t="shared" si="196"/>
        <v>5.8281727071632873E+135</v>
      </c>
      <c r="OER53" s="760">
        <f t="shared" si="196"/>
        <v>6.0030178883781859E+135</v>
      </c>
      <c r="OES53" s="760">
        <f t="shared" si="196"/>
        <v>6.1831084250295313E+135</v>
      </c>
      <c r="OET53" s="760">
        <f t="shared" si="196"/>
        <v>6.368601677780418E+135</v>
      </c>
      <c r="OEU53" s="760">
        <f t="shared" si="196"/>
        <v>6.5596597281138312E+135</v>
      </c>
      <c r="OEV53" s="760">
        <f t="shared" si="196"/>
        <v>6.7564495199572464E+135</v>
      </c>
      <c r="OEW53" s="760">
        <f t="shared" si="196"/>
        <v>6.9591430055559639E+135</v>
      </c>
      <c r="OEX53" s="760">
        <f t="shared" si="196"/>
        <v>7.1679172957226424E+135</v>
      </c>
      <c r="OEY53" s="760">
        <f t="shared" si="196"/>
        <v>7.3829548145943223E+135</v>
      </c>
      <c r="OEZ53" s="760">
        <f t="shared" si="196"/>
        <v>7.604443459032152E+135</v>
      </c>
      <c r="OFA53" s="760">
        <f t="shared" si="196"/>
        <v>7.8325767628031164E+135</v>
      </c>
      <c r="OFB53" s="760">
        <f t="shared" si="196"/>
        <v>8.0675540656872099E+135</v>
      </c>
      <c r="OFC53" s="760">
        <f t="shared" si="196"/>
        <v>8.3095806876578259E+135</v>
      </c>
      <c r="OFD53" s="760">
        <f t="shared" si="196"/>
        <v>8.5588681082875615E+135</v>
      </c>
      <c r="OFE53" s="760">
        <f t="shared" si="196"/>
        <v>8.8156341515361889E+135</v>
      </c>
      <c r="OFF53" s="760">
        <f t="shared" si="196"/>
        <v>9.0801031760822753E+135</v>
      </c>
      <c r="OFG53" s="760">
        <f t="shared" si="196"/>
        <v>9.3525062713647435E+135</v>
      </c>
      <c r="OFH53" s="760">
        <f t="shared" si="196"/>
        <v>9.633081459505686E+135</v>
      </c>
      <c r="OFI53" s="760">
        <f t="shared" si="196"/>
        <v>9.9220739032908571E+135</v>
      </c>
      <c r="OFJ53" s="760">
        <f t="shared" si="196"/>
        <v>1.0219736120389583E+136</v>
      </c>
      <c r="OFK53" s="760">
        <f t="shared" si="196"/>
        <v>1.0526328204001272E+136</v>
      </c>
      <c r="OFL53" s="760">
        <f t="shared" si="196"/>
        <v>1.084211805012131E+136</v>
      </c>
      <c r="OFM53" s="760">
        <f t="shared" si="196"/>
        <v>1.1167381591624949E+136</v>
      </c>
      <c r="OFN53" s="760">
        <f t="shared" si="196"/>
        <v>1.1502403039373699E+136</v>
      </c>
      <c r="OFO53" s="760">
        <f t="shared" ref="OFO53:OHZ53" si="197">+OFN53*$C$53</f>
        <v>1.1847475130554911E+136</v>
      </c>
      <c r="OFP53" s="760">
        <f t="shared" si="197"/>
        <v>1.2202899384471558E+136</v>
      </c>
      <c r="OFQ53" s="760">
        <f t="shared" si="197"/>
        <v>1.2568986366005706E+136</v>
      </c>
      <c r="OFR53" s="760">
        <f t="shared" si="197"/>
        <v>1.2946055956985877E+136</v>
      </c>
      <c r="OFS53" s="760">
        <f t="shared" si="197"/>
        <v>1.3334437635695453E+136</v>
      </c>
      <c r="OFT53" s="760">
        <f t="shared" si="197"/>
        <v>1.3734470764766316E+136</v>
      </c>
      <c r="OFU53" s="760">
        <f t="shared" si="197"/>
        <v>1.4146504887709306E+136</v>
      </c>
      <c r="OFV53" s="760">
        <f t="shared" si="197"/>
        <v>1.4570900034340584E+136</v>
      </c>
      <c r="OFW53" s="760">
        <f t="shared" si="197"/>
        <v>1.5008027035370802E+136</v>
      </c>
      <c r="OFX53" s="760">
        <f t="shared" si="197"/>
        <v>1.5458267846431926E+136</v>
      </c>
      <c r="OFY53" s="760">
        <f t="shared" si="197"/>
        <v>1.5922015881824885E+136</v>
      </c>
      <c r="OFZ53" s="760">
        <f t="shared" si="197"/>
        <v>1.6399676358279633E+136</v>
      </c>
      <c r="OGA53" s="760">
        <f t="shared" si="197"/>
        <v>1.6891666649028023E+136</v>
      </c>
      <c r="OGB53" s="760">
        <f t="shared" si="197"/>
        <v>1.7398416648498866E+136</v>
      </c>
      <c r="OGC53" s="760">
        <f t="shared" si="197"/>
        <v>1.7920369147953833E+136</v>
      </c>
      <c r="OGD53" s="760">
        <f t="shared" si="197"/>
        <v>1.8457980222392449E+136</v>
      </c>
      <c r="OGE53" s="760">
        <f t="shared" si="197"/>
        <v>1.9011719629064223E+136</v>
      </c>
      <c r="OGF53" s="760">
        <f t="shared" si="197"/>
        <v>1.9582071217936151E+136</v>
      </c>
      <c r="OGG53" s="760">
        <f t="shared" si="197"/>
        <v>2.0169533354474235E+136</v>
      </c>
      <c r="OGH53" s="760">
        <f t="shared" si="197"/>
        <v>2.0774619355108462E+136</v>
      </c>
      <c r="OGI53" s="760">
        <f t="shared" si="197"/>
        <v>2.1397857935761717E+136</v>
      </c>
      <c r="OGJ53" s="760">
        <f t="shared" si="197"/>
        <v>2.203979367383457E+136</v>
      </c>
      <c r="OGK53" s="760">
        <f t="shared" si="197"/>
        <v>2.2700987484049608E+136</v>
      </c>
      <c r="OGL53" s="760">
        <f t="shared" si="197"/>
        <v>2.3382017108571096E+136</v>
      </c>
      <c r="OGM53" s="760">
        <f t="shared" si="197"/>
        <v>2.4083477621828227E+136</v>
      </c>
      <c r="OGN53" s="760">
        <f t="shared" si="197"/>
        <v>2.4805981950483075E+136</v>
      </c>
      <c r="OGO53" s="760">
        <f t="shared" si="197"/>
        <v>2.5550161408997566E+136</v>
      </c>
      <c r="OGP53" s="760">
        <f t="shared" si="197"/>
        <v>2.6316666251267495E+136</v>
      </c>
      <c r="OGQ53" s="760">
        <f t="shared" si="197"/>
        <v>2.7106166238805522E+136</v>
      </c>
      <c r="OGR53" s="760">
        <f t="shared" si="197"/>
        <v>2.7919351225969689E+136</v>
      </c>
      <c r="OGS53" s="760">
        <f t="shared" si="197"/>
        <v>2.875693176274878E+136</v>
      </c>
      <c r="OGT53" s="760">
        <f t="shared" si="197"/>
        <v>2.9619639715631245E+136</v>
      </c>
      <c r="OGU53" s="760">
        <f t="shared" si="197"/>
        <v>3.0508228907100182E+136</v>
      </c>
      <c r="OGV53" s="760">
        <f t="shared" si="197"/>
        <v>3.142347577431319E+136</v>
      </c>
      <c r="OGW53" s="760">
        <f t="shared" si="197"/>
        <v>3.2366180047542585E+136</v>
      </c>
      <c r="OGX53" s="760">
        <f t="shared" si="197"/>
        <v>3.3337165448968862E+136</v>
      </c>
      <c r="OGY53" s="760">
        <f t="shared" si="197"/>
        <v>3.4337280412437927E+136</v>
      </c>
      <c r="OGZ53" s="760">
        <f t="shared" si="197"/>
        <v>3.5367398824811067E+136</v>
      </c>
      <c r="OHA53" s="760">
        <f t="shared" si="197"/>
        <v>3.64284207895554E+136</v>
      </c>
      <c r="OHB53" s="760">
        <f t="shared" si="197"/>
        <v>3.7521273413242064E+136</v>
      </c>
      <c r="OHC53" s="760">
        <f t="shared" si="197"/>
        <v>3.8646911615639327E+136</v>
      </c>
      <c r="OHD53" s="760">
        <f t="shared" si="197"/>
        <v>3.9806318964108508E+136</v>
      </c>
      <c r="OHE53" s="760">
        <f t="shared" si="197"/>
        <v>4.1000508533031766E+136</v>
      </c>
      <c r="OHF53" s="760">
        <f t="shared" si="197"/>
        <v>4.2230523789022719E+136</v>
      </c>
      <c r="OHG53" s="760">
        <f t="shared" si="197"/>
        <v>4.3497439502693402E+136</v>
      </c>
      <c r="OHH53" s="760">
        <f t="shared" si="197"/>
        <v>4.4802362687774205E+136</v>
      </c>
      <c r="OHI53" s="760">
        <f t="shared" si="197"/>
        <v>4.6146433568407433E+136</v>
      </c>
      <c r="OHJ53" s="760">
        <f t="shared" si="197"/>
        <v>4.7530826575459652E+136</v>
      </c>
      <c r="OHK53" s="760">
        <f t="shared" si="197"/>
        <v>4.8956751372723446E+136</v>
      </c>
      <c r="OHL53" s="760">
        <f t="shared" si="197"/>
        <v>5.0425453913905151E+136</v>
      </c>
      <c r="OHM53" s="760">
        <f t="shared" si="197"/>
        <v>5.1938217531322306E+136</v>
      </c>
      <c r="OHN53" s="760">
        <f t="shared" si="197"/>
        <v>5.3496364057261976E+136</v>
      </c>
      <c r="OHO53" s="760">
        <f t="shared" si="197"/>
        <v>5.5101254978979832E+136</v>
      </c>
      <c r="OHP53" s="760">
        <f t="shared" si="197"/>
        <v>5.6754292628349227E+136</v>
      </c>
      <c r="OHQ53" s="760">
        <f t="shared" si="197"/>
        <v>5.8456921407199702E+136</v>
      </c>
      <c r="OHR53" s="760">
        <f t="shared" si="197"/>
        <v>6.0210629049415696E+136</v>
      </c>
      <c r="OHS53" s="760">
        <f t="shared" si="197"/>
        <v>6.2016947920898167E+136</v>
      </c>
      <c r="OHT53" s="760">
        <f t="shared" si="197"/>
        <v>6.3877456358525111E+136</v>
      </c>
      <c r="OHU53" s="760">
        <f t="shared" si="197"/>
        <v>6.579378004928087E+136</v>
      </c>
      <c r="OHV53" s="760">
        <f t="shared" si="197"/>
        <v>6.7767593450759301E+136</v>
      </c>
      <c r="OHW53" s="760">
        <f t="shared" si="197"/>
        <v>6.9800621254282084E+136</v>
      </c>
      <c r="OHX53" s="760">
        <f t="shared" si="197"/>
        <v>7.1894639891910544E+136</v>
      </c>
      <c r="OHY53" s="760">
        <f t="shared" si="197"/>
        <v>7.4051479088667861E+136</v>
      </c>
      <c r="OHZ53" s="760">
        <f t="shared" si="197"/>
        <v>7.6273023461327903E+136</v>
      </c>
      <c r="OIA53" s="760">
        <f t="shared" ref="OIA53:OKL53" si="198">+OHZ53*$C$53</f>
        <v>7.8561214165167739E+136</v>
      </c>
      <c r="OIB53" s="760">
        <f t="shared" si="198"/>
        <v>8.0918050590122774E+136</v>
      </c>
      <c r="OIC53" s="760">
        <f t="shared" si="198"/>
        <v>8.3345592107826455E+136</v>
      </c>
      <c r="OID53" s="760">
        <f t="shared" si="198"/>
        <v>8.5845959871061255E+136</v>
      </c>
      <c r="OIE53" s="760">
        <f t="shared" si="198"/>
        <v>8.8421338667193091E+136</v>
      </c>
      <c r="OIF53" s="760">
        <f t="shared" si="198"/>
        <v>9.1073978827208884E+136</v>
      </c>
      <c r="OIG53" s="760">
        <f t="shared" si="198"/>
        <v>9.3806198192025157E+136</v>
      </c>
      <c r="OIH53" s="760">
        <f t="shared" si="198"/>
        <v>9.6620384137785911E+136</v>
      </c>
      <c r="OII53" s="760">
        <f t="shared" si="198"/>
        <v>9.9518995661919501E+136</v>
      </c>
      <c r="OIJ53" s="760">
        <f t="shared" si="198"/>
        <v>1.0250456553177709E+137</v>
      </c>
      <c r="OIK53" s="760">
        <f t="shared" si="198"/>
        <v>1.055797024977304E+137</v>
      </c>
      <c r="OIL53" s="760">
        <f t="shared" si="198"/>
        <v>1.0874709357266231E+137</v>
      </c>
      <c r="OIM53" s="760">
        <f t="shared" si="198"/>
        <v>1.1200950637984219E+137</v>
      </c>
      <c r="OIN53" s="760">
        <f t="shared" si="198"/>
        <v>1.1536979157123746E+137</v>
      </c>
      <c r="OIO53" s="760">
        <f t="shared" si="198"/>
        <v>1.1883088531837459E+137</v>
      </c>
      <c r="OIP53" s="760">
        <f t="shared" si="198"/>
        <v>1.2239581187792584E+137</v>
      </c>
      <c r="OIQ53" s="760">
        <f t="shared" si="198"/>
        <v>1.2606768623426362E+137</v>
      </c>
      <c r="OIR53" s="760">
        <f t="shared" si="198"/>
        <v>1.2984971682129154E+137</v>
      </c>
      <c r="OIS53" s="760">
        <f t="shared" si="198"/>
        <v>1.3374520832593029E+137</v>
      </c>
      <c r="OIT53" s="760">
        <f t="shared" si="198"/>
        <v>1.3775756457570819E+137</v>
      </c>
      <c r="OIU53" s="760">
        <f t="shared" si="198"/>
        <v>1.4189029151297944E+137</v>
      </c>
      <c r="OIV53" s="760">
        <f t="shared" si="198"/>
        <v>1.4614700025836884E+137</v>
      </c>
      <c r="OIW53" s="760">
        <f t="shared" si="198"/>
        <v>1.505314102661199E+137</v>
      </c>
      <c r="OIX53" s="760">
        <f t="shared" si="198"/>
        <v>1.5504735257410351E+137</v>
      </c>
      <c r="OIY53" s="760">
        <f t="shared" si="198"/>
        <v>1.5969877315132663E+137</v>
      </c>
      <c r="OIZ53" s="760">
        <f t="shared" si="198"/>
        <v>1.6448973634586643E+137</v>
      </c>
      <c r="OJA53" s="760">
        <f t="shared" si="198"/>
        <v>1.6942442843624243E+137</v>
      </c>
      <c r="OJB53" s="760">
        <f t="shared" si="198"/>
        <v>1.7450716128932971E+137</v>
      </c>
      <c r="OJC53" s="760">
        <f t="shared" si="198"/>
        <v>1.7974237612800961E+137</v>
      </c>
      <c r="OJD53" s="760">
        <f t="shared" si="198"/>
        <v>1.851346474118499E+137</v>
      </c>
      <c r="OJE53" s="760">
        <f t="shared" si="198"/>
        <v>1.9068868683420539E+137</v>
      </c>
      <c r="OJF53" s="760">
        <f t="shared" si="198"/>
        <v>1.9640934743923154E+137</v>
      </c>
      <c r="OJG53" s="760">
        <f t="shared" si="198"/>
        <v>2.023016278624085E+137</v>
      </c>
      <c r="OJH53" s="760">
        <f t="shared" si="198"/>
        <v>2.0837067669828077E+137</v>
      </c>
      <c r="OJI53" s="760">
        <f t="shared" si="198"/>
        <v>2.1462179699922921E+137</v>
      </c>
      <c r="OJJ53" s="760">
        <f t="shared" si="198"/>
        <v>2.210604509092061E+137</v>
      </c>
      <c r="OJK53" s="760">
        <f t="shared" si="198"/>
        <v>2.2769226443648228E+137</v>
      </c>
      <c r="OJL53" s="760">
        <f t="shared" si="198"/>
        <v>2.3452303236957674E+137</v>
      </c>
      <c r="OJM53" s="760">
        <f t="shared" si="198"/>
        <v>2.4155872334066404E+137</v>
      </c>
      <c r="OJN53" s="760">
        <f t="shared" si="198"/>
        <v>2.4880548504088396E+137</v>
      </c>
      <c r="OJO53" s="760">
        <f t="shared" si="198"/>
        <v>2.5626964959211051E+137</v>
      </c>
      <c r="OJP53" s="760">
        <f t="shared" si="198"/>
        <v>2.6395773907987382E+137</v>
      </c>
      <c r="OJQ53" s="760">
        <f t="shared" si="198"/>
        <v>2.7187647125227002E+137</v>
      </c>
      <c r="OJR53" s="760">
        <f t="shared" si="198"/>
        <v>2.8003276538983814E+137</v>
      </c>
      <c r="OJS53" s="760">
        <f t="shared" si="198"/>
        <v>2.8843374835153329E+137</v>
      </c>
      <c r="OJT53" s="760">
        <f t="shared" si="198"/>
        <v>2.9708676080207928E+137</v>
      </c>
      <c r="OJU53" s="760">
        <f t="shared" si="198"/>
        <v>3.0599936362614167E+137</v>
      </c>
      <c r="OJV53" s="760">
        <f t="shared" si="198"/>
        <v>3.1517934453492591E+137</v>
      </c>
      <c r="OJW53" s="760">
        <f t="shared" si="198"/>
        <v>3.2463472487097369E+137</v>
      </c>
      <c r="OJX53" s="760">
        <f t="shared" si="198"/>
        <v>3.3437376661710291E+137</v>
      </c>
      <c r="OJY53" s="760">
        <f t="shared" si="198"/>
        <v>3.4440497961561602E+137</v>
      </c>
      <c r="OJZ53" s="760">
        <f t="shared" si="198"/>
        <v>3.5473712900408451E+137</v>
      </c>
      <c r="OKA53" s="760">
        <f t="shared" si="198"/>
        <v>3.6537924287420707E+137</v>
      </c>
      <c r="OKB53" s="760">
        <f t="shared" si="198"/>
        <v>3.7634062016043329E+137</v>
      </c>
      <c r="OKC53" s="760">
        <f t="shared" si="198"/>
        <v>3.8763083876524633E+137</v>
      </c>
      <c r="OKD53" s="760">
        <f t="shared" si="198"/>
        <v>3.9925976392820374E+137</v>
      </c>
      <c r="OKE53" s="760">
        <f t="shared" si="198"/>
        <v>4.1123755684604988E+137</v>
      </c>
      <c r="OKF53" s="760">
        <f t="shared" si="198"/>
        <v>4.2357468355143142E+137</v>
      </c>
      <c r="OKG53" s="760">
        <f t="shared" si="198"/>
        <v>4.3628192405797433E+137</v>
      </c>
      <c r="OKH53" s="760">
        <f t="shared" si="198"/>
        <v>4.4937038177971354E+137</v>
      </c>
      <c r="OKI53" s="760">
        <f t="shared" si="198"/>
        <v>4.6285149323310499E+137</v>
      </c>
      <c r="OKJ53" s="760">
        <f t="shared" si="198"/>
        <v>4.7673703803009811E+137</v>
      </c>
      <c r="OKK53" s="760">
        <f t="shared" si="198"/>
        <v>4.910391491710011E+137</v>
      </c>
      <c r="OKL53" s="760">
        <f t="shared" si="198"/>
        <v>5.0577032364613117E+137</v>
      </c>
      <c r="OKM53" s="760">
        <f t="shared" ref="OKM53:OMX53" si="199">+OKL53*$C$53</f>
        <v>5.2094343335551511E+137</v>
      </c>
      <c r="OKN53" s="760">
        <f t="shared" si="199"/>
        <v>5.3657173635618055E+137</v>
      </c>
      <c r="OKO53" s="760">
        <f t="shared" si="199"/>
        <v>5.5266888844686601E+137</v>
      </c>
      <c r="OKP53" s="760">
        <f t="shared" si="199"/>
        <v>5.6924895510027201E+137</v>
      </c>
      <c r="OKQ53" s="760">
        <f t="shared" si="199"/>
        <v>5.863264237532802E+137</v>
      </c>
      <c r="OKR53" s="760">
        <f t="shared" si="199"/>
        <v>6.0391621646587863E+137</v>
      </c>
      <c r="OKS53" s="760">
        <f t="shared" si="199"/>
        <v>6.2203370295985497E+137</v>
      </c>
      <c r="OKT53" s="760">
        <f t="shared" si="199"/>
        <v>6.4069471404865066E+137</v>
      </c>
      <c r="OKU53" s="760">
        <f t="shared" si="199"/>
        <v>6.5991555547011017E+137</v>
      </c>
      <c r="OKV53" s="760">
        <f t="shared" si="199"/>
        <v>6.7971302213421345E+137</v>
      </c>
      <c r="OKW53" s="760">
        <f t="shared" si="199"/>
        <v>7.0010441279823986E+137</v>
      </c>
      <c r="OKX53" s="760">
        <f t="shared" si="199"/>
        <v>7.2110754518218711E+137</v>
      </c>
      <c r="OKY53" s="760">
        <f t="shared" si="199"/>
        <v>7.4274077153765272E+137</v>
      </c>
      <c r="OKZ53" s="760">
        <f t="shared" si="199"/>
        <v>7.6502299468378234E+137</v>
      </c>
      <c r="OLA53" s="760">
        <f t="shared" si="199"/>
        <v>7.8797368452429582E+137</v>
      </c>
      <c r="OLB53" s="760">
        <f t="shared" si="199"/>
        <v>8.1161289506002469E+137</v>
      </c>
      <c r="OLC53" s="760">
        <f t="shared" si="199"/>
        <v>8.3596128191182549E+137</v>
      </c>
      <c r="OLD53" s="760">
        <f t="shared" si="199"/>
        <v>8.6104012036918032E+137</v>
      </c>
      <c r="OLE53" s="760">
        <f t="shared" si="199"/>
        <v>8.8687132398025573E+137</v>
      </c>
      <c r="OLF53" s="760">
        <f t="shared" si="199"/>
        <v>9.1347746369966343E+137</v>
      </c>
      <c r="OLG53" s="760">
        <f t="shared" si="199"/>
        <v>9.4088178761065338E+137</v>
      </c>
      <c r="OLH53" s="760">
        <f t="shared" si="199"/>
        <v>9.6910824123897294E+137</v>
      </c>
      <c r="OLI53" s="760">
        <f t="shared" si="199"/>
        <v>9.9818148847614208E+137</v>
      </c>
      <c r="OLJ53" s="760">
        <f t="shared" si="199"/>
        <v>1.0281269331304263E+138</v>
      </c>
      <c r="OLK53" s="760">
        <f t="shared" si="199"/>
        <v>1.0589707411243391E+138</v>
      </c>
      <c r="OLL53" s="760">
        <f t="shared" si="199"/>
        <v>1.0907398633580694E+138</v>
      </c>
      <c r="OLM53" s="760">
        <f t="shared" si="199"/>
        <v>1.1234620592588115E+138</v>
      </c>
      <c r="OLN53" s="760">
        <f t="shared" si="199"/>
        <v>1.1571659210365759E+138</v>
      </c>
      <c r="OLO53" s="760">
        <f t="shared" si="199"/>
        <v>1.1918808986676732E+138</v>
      </c>
      <c r="OLP53" s="760">
        <f t="shared" si="199"/>
        <v>1.2276373256277034E+138</v>
      </c>
      <c r="OLQ53" s="760">
        <f t="shared" si="199"/>
        <v>1.2644664453965346E+138</v>
      </c>
      <c r="OLR53" s="760">
        <f t="shared" si="199"/>
        <v>1.3024004387584306E+138</v>
      </c>
      <c r="OLS53" s="760">
        <f t="shared" si="199"/>
        <v>1.3414724519211835E+138</v>
      </c>
      <c r="OLT53" s="760">
        <f t="shared" si="199"/>
        <v>1.381716625478819E+138</v>
      </c>
      <c r="OLU53" s="760">
        <f t="shared" si="199"/>
        <v>1.4231681242431836E+138</v>
      </c>
      <c r="OLV53" s="760">
        <f t="shared" si="199"/>
        <v>1.4658631679704791E+138</v>
      </c>
      <c r="OLW53" s="760">
        <f t="shared" si="199"/>
        <v>1.5098390630095936E+138</v>
      </c>
      <c r="OLX53" s="760">
        <f t="shared" si="199"/>
        <v>1.5551342348998814E+138</v>
      </c>
      <c r="OLY53" s="760">
        <f t="shared" si="199"/>
        <v>1.6017882619468777E+138</v>
      </c>
      <c r="OLZ53" s="760">
        <f t="shared" si="199"/>
        <v>1.6498419098052839E+138</v>
      </c>
      <c r="OMA53" s="760">
        <f t="shared" si="199"/>
        <v>1.6993371670994424E+138</v>
      </c>
      <c r="OMB53" s="760">
        <f t="shared" si="199"/>
        <v>1.7503172821124256E+138</v>
      </c>
      <c r="OMC53" s="760">
        <f t="shared" si="199"/>
        <v>1.8028268005757983E+138</v>
      </c>
      <c r="OMD53" s="760">
        <f t="shared" si="199"/>
        <v>1.8569116045930723E+138</v>
      </c>
      <c r="OME53" s="760">
        <f t="shared" si="199"/>
        <v>1.9126189527308645E+138</v>
      </c>
      <c r="OMF53" s="760">
        <f t="shared" si="199"/>
        <v>1.9699975213127904E+138</v>
      </c>
      <c r="OMG53" s="760">
        <f t="shared" si="199"/>
        <v>2.0290974469521741E+138</v>
      </c>
      <c r="OMH53" s="760">
        <f t="shared" si="199"/>
        <v>2.0899703703607394E+138</v>
      </c>
      <c r="OMI53" s="760">
        <f t="shared" si="199"/>
        <v>2.1526694814715615E+138</v>
      </c>
      <c r="OMJ53" s="760">
        <f t="shared" si="199"/>
        <v>2.2172495659157084E+138</v>
      </c>
      <c r="OMK53" s="760">
        <f t="shared" si="199"/>
        <v>2.2837670528931795E+138</v>
      </c>
      <c r="OML53" s="760">
        <f t="shared" si="199"/>
        <v>2.3522800644799751E+138</v>
      </c>
      <c r="OMM53" s="760">
        <f t="shared" si="199"/>
        <v>2.4228484664143743E+138</v>
      </c>
      <c r="OMN53" s="760">
        <f t="shared" si="199"/>
        <v>2.4955339204068055E+138</v>
      </c>
      <c r="OMO53" s="760">
        <f t="shared" si="199"/>
        <v>2.5703999380190099E+138</v>
      </c>
      <c r="OMP53" s="760">
        <f t="shared" si="199"/>
        <v>2.6475119361595802E+138</v>
      </c>
      <c r="OMQ53" s="760">
        <f t="shared" si="199"/>
        <v>2.7269372942443676E+138</v>
      </c>
      <c r="OMR53" s="760">
        <f t="shared" si="199"/>
        <v>2.8087454130716986E+138</v>
      </c>
      <c r="OMS53" s="760">
        <f t="shared" si="199"/>
        <v>2.8930077754638495E+138</v>
      </c>
      <c r="OMT53" s="760">
        <f t="shared" si="199"/>
        <v>2.979798008727765E+138</v>
      </c>
      <c r="OMU53" s="760">
        <f t="shared" si="199"/>
        <v>3.0691919489895979E+138</v>
      </c>
      <c r="OMV53" s="760">
        <f t="shared" si="199"/>
        <v>3.1612677074592861E+138</v>
      </c>
      <c r="OMW53" s="760">
        <f t="shared" si="199"/>
        <v>3.2561057386830651E+138</v>
      </c>
      <c r="OMX53" s="760">
        <f t="shared" si="199"/>
        <v>3.3537889108435571E+138</v>
      </c>
      <c r="OMY53" s="760">
        <f t="shared" ref="OMY53:OPJ53" si="200">+OMX53*$C$53</f>
        <v>3.4544025781688637E+138</v>
      </c>
      <c r="OMZ53" s="760">
        <f t="shared" si="200"/>
        <v>3.5580346555139299E+138</v>
      </c>
      <c r="ONA53" s="760">
        <f t="shared" si="200"/>
        <v>3.6647756951793475E+138</v>
      </c>
      <c r="ONB53" s="760">
        <f t="shared" si="200"/>
        <v>3.7747189660347281E+138</v>
      </c>
      <c r="ONC53" s="760">
        <f t="shared" si="200"/>
        <v>3.8879605350157698E+138</v>
      </c>
      <c r="OND53" s="760">
        <f t="shared" si="200"/>
        <v>4.0045993510662431E+138</v>
      </c>
      <c r="ONE53" s="760">
        <f t="shared" si="200"/>
        <v>4.1247373315982303E+138</v>
      </c>
      <c r="ONF53" s="760">
        <f t="shared" si="200"/>
        <v>4.2484794515461772E+138</v>
      </c>
      <c r="ONG53" s="760">
        <f t="shared" si="200"/>
        <v>4.3759338350925624E+138</v>
      </c>
      <c r="ONH53" s="760">
        <f t="shared" si="200"/>
        <v>4.5072118501453395E+138</v>
      </c>
      <c r="ONI53" s="760">
        <f t="shared" si="200"/>
        <v>4.6424282056496999E+138</v>
      </c>
      <c r="ONJ53" s="760">
        <f t="shared" si="200"/>
        <v>4.7817010518191912E+138</v>
      </c>
      <c r="ONK53" s="760">
        <f t="shared" si="200"/>
        <v>4.9251520833737671E+138</v>
      </c>
      <c r="ONL53" s="760">
        <f t="shared" si="200"/>
        <v>5.0729066458749801E+138</v>
      </c>
      <c r="ONM53" s="760">
        <f t="shared" si="200"/>
        <v>5.2250938452512298E+138</v>
      </c>
      <c r="ONN53" s="760">
        <f t="shared" si="200"/>
        <v>5.3818466606087665E+138</v>
      </c>
      <c r="ONO53" s="760">
        <f t="shared" si="200"/>
        <v>5.5433020604270298E+138</v>
      </c>
      <c r="ONP53" s="760">
        <f t="shared" si="200"/>
        <v>5.7096011222398408E+138</v>
      </c>
      <c r="ONQ53" s="760">
        <f t="shared" si="200"/>
        <v>5.8808891559070365E+138</v>
      </c>
      <c r="ONR53" s="760">
        <f t="shared" si="200"/>
        <v>6.0573158305842473E+138</v>
      </c>
      <c r="ONS53" s="760">
        <f t="shared" si="200"/>
        <v>6.2390353055017744E+138</v>
      </c>
      <c r="ONT53" s="760">
        <f t="shared" si="200"/>
        <v>6.4262063646668277E+138</v>
      </c>
      <c r="ONU53" s="760">
        <f t="shared" si="200"/>
        <v>6.6189925556068333E+138</v>
      </c>
      <c r="ONV53" s="760">
        <f t="shared" si="200"/>
        <v>6.8175623322750385E+138</v>
      </c>
      <c r="ONW53" s="760">
        <f t="shared" si="200"/>
        <v>7.0220892022432895E+138</v>
      </c>
      <c r="ONX53" s="760">
        <f t="shared" si="200"/>
        <v>7.2327518783105888E+138</v>
      </c>
      <c r="ONY53" s="760">
        <f t="shared" si="200"/>
        <v>7.4497344346599063E+138</v>
      </c>
      <c r="ONZ53" s="760">
        <f t="shared" si="200"/>
        <v>7.6732264676997041E+138</v>
      </c>
      <c r="OOA53" s="760">
        <f t="shared" si="200"/>
        <v>7.9034232617306956E+138</v>
      </c>
      <c r="OOB53" s="760">
        <f t="shared" si="200"/>
        <v>8.1405259595826164E+138</v>
      </c>
      <c r="OOC53" s="760">
        <f t="shared" si="200"/>
        <v>8.3847417383700947E+138</v>
      </c>
      <c r="OOD53" s="760">
        <f t="shared" si="200"/>
        <v>8.6362839905211973E+138</v>
      </c>
      <c r="OOE53" s="760">
        <f t="shared" si="200"/>
        <v>8.8953725102368338E+138</v>
      </c>
      <c r="OOF53" s="760">
        <f t="shared" si="200"/>
        <v>9.1622336855439391E+138</v>
      </c>
      <c r="OOG53" s="760">
        <f t="shared" si="200"/>
        <v>9.4371006961102577E+138</v>
      </c>
      <c r="OOH53" s="760">
        <f t="shared" si="200"/>
        <v>9.720213716993566E+138</v>
      </c>
      <c r="OOI53" s="760">
        <f t="shared" si="200"/>
        <v>1.0011820128503373E+139</v>
      </c>
      <c r="OOJ53" s="760">
        <f t="shared" si="200"/>
        <v>1.0312174732358474E+139</v>
      </c>
      <c r="OOK53" s="760">
        <f t="shared" si="200"/>
        <v>1.0621539974329229E+139</v>
      </c>
      <c r="OOL53" s="760">
        <f t="shared" si="200"/>
        <v>1.0940186173559106E+139</v>
      </c>
      <c r="OOM53" s="760">
        <f t="shared" si="200"/>
        <v>1.1268391758765879E+139</v>
      </c>
      <c r="OON53" s="760">
        <f t="shared" si="200"/>
        <v>1.1606443511528855E+139</v>
      </c>
      <c r="OOO53" s="760">
        <f t="shared" si="200"/>
        <v>1.1954636816874722E+139</v>
      </c>
      <c r="OOP53" s="760">
        <f t="shared" si="200"/>
        <v>1.2313275921380964E+139</v>
      </c>
      <c r="OOQ53" s="760">
        <f t="shared" si="200"/>
        <v>1.2682674199022394E+139</v>
      </c>
      <c r="OOR53" s="760">
        <f t="shared" si="200"/>
        <v>1.3063154424993065E+139</v>
      </c>
      <c r="OOS53" s="760">
        <f t="shared" si="200"/>
        <v>1.3455049057742859E+139</v>
      </c>
      <c r="OOT53" s="760">
        <f t="shared" si="200"/>
        <v>1.3858700529475145E+139</v>
      </c>
      <c r="OOU53" s="760">
        <f t="shared" si="200"/>
        <v>1.4274461545359398E+139</v>
      </c>
      <c r="OOV53" s="760">
        <f t="shared" si="200"/>
        <v>1.4702695391720182E+139</v>
      </c>
      <c r="OOW53" s="760">
        <f t="shared" si="200"/>
        <v>1.5143776253471788E+139</v>
      </c>
      <c r="OOX53" s="760">
        <f t="shared" si="200"/>
        <v>1.5598089541075943E+139</v>
      </c>
      <c r="OOY53" s="760">
        <f t="shared" si="200"/>
        <v>1.6066032227308223E+139</v>
      </c>
      <c r="OOZ53" s="760">
        <f t="shared" si="200"/>
        <v>1.6548013194127469E+139</v>
      </c>
      <c r="OPA53" s="760">
        <f t="shared" si="200"/>
        <v>1.7044453589951294E+139</v>
      </c>
      <c r="OPB53" s="760">
        <f t="shared" si="200"/>
        <v>1.7555787197649835E+139</v>
      </c>
      <c r="OPC53" s="760">
        <f t="shared" si="200"/>
        <v>1.808246081357933E+139</v>
      </c>
      <c r="OPD53" s="760">
        <f t="shared" si="200"/>
        <v>1.862493463798671E+139</v>
      </c>
      <c r="OPE53" s="760">
        <f t="shared" si="200"/>
        <v>1.9183682677126311E+139</v>
      </c>
      <c r="OPF53" s="760">
        <f t="shared" si="200"/>
        <v>1.9759193157440101E+139</v>
      </c>
      <c r="OPG53" s="760">
        <f t="shared" si="200"/>
        <v>2.0351968952163305E+139</v>
      </c>
      <c r="OPH53" s="760">
        <f t="shared" si="200"/>
        <v>2.0962528020728204E+139</v>
      </c>
      <c r="OPI53" s="760">
        <f t="shared" si="200"/>
        <v>2.159140386135005E+139</v>
      </c>
      <c r="OPJ53" s="760">
        <f t="shared" si="200"/>
        <v>2.2239145977190553E+139</v>
      </c>
      <c r="OPK53" s="760">
        <f t="shared" ref="OPK53:ORV53" si="201">+OPJ53*$C$53</f>
        <v>2.2906320356506271E+139</v>
      </c>
      <c r="OPL53" s="760">
        <f t="shared" si="201"/>
        <v>2.359350996720146E+139</v>
      </c>
      <c r="OPM53" s="760">
        <f t="shared" si="201"/>
        <v>2.4301315266217505E+139</v>
      </c>
      <c r="OPN53" s="760">
        <f t="shared" si="201"/>
        <v>2.5030354724204033E+139</v>
      </c>
      <c r="OPO53" s="760">
        <f t="shared" si="201"/>
        <v>2.5781265365930155E+139</v>
      </c>
      <c r="OPP53" s="760">
        <f t="shared" si="201"/>
        <v>2.6554703326908063E+139</v>
      </c>
      <c r="OPQ53" s="760">
        <f t="shared" si="201"/>
        <v>2.7351344426715305E+139</v>
      </c>
      <c r="OPR53" s="760">
        <f t="shared" si="201"/>
        <v>2.8171884759516765E+139</v>
      </c>
      <c r="OPS53" s="760">
        <f t="shared" si="201"/>
        <v>2.9017041302302268E+139</v>
      </c>
      <c r="OPT53" s="760">
        <f t="shared" si="201"/>
        <v>2.9887552541371339E+139</v>
      </c>
      <c r="OPU53" s="760">
        <f t="shared" si="201"/>
        <v>3.0784179117612481E+139</v>
      </c>
      <c r="OPV53" s="760">
        <f t="shared" si="201"/>
        <v>3.1707704491140856E+139</v>
      </c>
      <c r="OPW53" s="760">
        <f t="shared" si="201"/>
        <v>3.2658935625875084E+139</v>
      </c>
      <c r="OPX53" s="760">
        <f t="shared" si="201"/>
        <v>3.363870369465134E+139</v>
      </c>
      <c r="OPY53" s="760">
        <f t="shared" si="201"/>
        <v>3.464786480549088E+139</v>
      </c>
      <c r="OPZ53" s="760">
        <f t="shared" si="201"/>
        <v>3.5687300749655607E+139</v>
      </c>
      <c r="OQA53" s="760">
        <f t="shared" si="201"/>
        <v>3.6757919772145278E+139</v>
      </c>
      <c r="OQB53" s="760">
        <f t="shared" si="201"/>
        <v>3.7860657365309638E+139</v>
      </c>
      <c r="OQC53" s="760">
        <f t="shared" si="201"/>
        <v>3.8996477086268926E+139</v>
      </c>
      <c r="OQD53" s="760">
        <f t="shared" si="201"/>
        <v>4.0166371398856994E+139</v>
      </c>
      <c r="OQE53" s="760">
        <f t="shared" si="201"/>
        <v>4.1371362540822705E+139</v>
      </c>
      <c r="OQF53" s="760">
        <f t="shared" si="201"/>
        <v>4.2612503417047386E+139</v>
      </c>
      <c r="OQG53" s="760">
        <f t="shared" si="201"/>
        <v>4.3890878519558808E+139</v>
      </c>
      <c r="OQH53" s="760">
        <f t="shared" si="201"/>
        <v>4.5207604875145571E+139</v>
      </c>
      <c r="OQI53" s="760">
        <f t="shared" si="201"/>
        <v>4.6563833021399939E+139</v>
      </c>
      <c r="OQJ53" s="760">
        <f t="shared" si="201"/>
        <v>4.796074801204194E+139</v>
      </c>
      <c r="OQK53" s="760">
        <f t="shared" si="201"/>
        <v>4.93995704524032E+139</v>
      </c>
      <c r="OQL53" s="760">
        <f t="shared" si="201"/>
        <v>5.0881557565975301E+139</v>
      </c>
      <c r="OQM53" s="760">
        <f t="shared" si="201"/>
        <v>5.2408004292954566E+139</v>
      </c>
      <c r="OQN53" s="760">
        <f t="shared" si="201"/>
        <v>5.3980244421743203E+139</v>
      </c>
      <c r="OQO53" s="760">
        <f t="shared" si="201"/>
        <v>5.5599651754395497E+139</v>
      </c>
      <c r="OQP53" s="760">
        <f t="shared" si="201"/>
        <v>5.7267641307027366E+139</v>
      </c>
      <c r="OQQ53" s="760">
        <f t="shared" si="201"/>
        <v>5.8985670546238193E+139</v>
      </c>
      <c r="OQR53" s="760">
        <f t="shared" si="201"/>
        <v>6.0755240662625345E+139</v>
      </c>
      <c r="OQS53" s="760">
        <f t="shared" si="201"/>
        <v>6.2577897882504102E+139</v>
      </c>
      <c r="OQT53" s="760">
        <f t="shared" si="201"/>
        <v>6.4455234818979226E+139</v>
      </c>
      <c r="OQU53" s="760">
        <f t="shared" si="201"/>
        <v>6.6388891863548606E+139</v>
      </c>
      <c r="OQV53" s="760">
        <f t="shared" si="201"/>
        <v>6.838055861945507E+139</v>
      </c>
      <c r="OQW53" s="760">
        <f t="shared" si="201"/>
        <v>7.0431975378038726E+139</v>
      </c>
      <c r="OQX53" s="760">
        <f t="shared" si="201"/>
        <v>7.2544934639379892E+139</v>
      </c>
      <c r="OQY53" s="760">
        <f t="shared" si="201"/>
        <v>7.4721282678561292E+139</v>
      </c>
      <c r="OQZ53" s="760">
        <f t="shared" si="201"/>
        <v>7.6962921158918134E+139</v>
      </c>
      <c r="ORA53" s="760">
        <f t="shared" si="201"/>
        <v>7.9271808793685677E+139</v>
      </c>
      <c r="ORB53" s="760">
        <f t="shared" si="201"/>
        <v>8.1649963057496249E+139</v>
      </c>
      <c r="ORC53" s="760">
        <f t="shared" si="201"/>
        <v>8.4099461949221136E+139</v>
      </c>
      <c r="ORD53" s="760">
        <f t="shared" si="201"/>
        <v>8.6622445807697769E+139</v>
      </c>
      <c r="ORE53" s="760">
        <f t="shared" si="201"/>
        <v>8.92211191819287E+139</v>
      </c>
      <c r="ORF53" s="760">
        <f t="shared" si="201"/>
        <v>9.189775275738656E+139</v>
      </c>
      <c r="ORG53" s="760">
        <f t="shared" si="201"/>
        <v>9.4654685340108158E+139</v>
      </c>
      <c r="ORH53" s="760">
        <f t="shared" si="201"/>
        <v>9.7494325900311397E+139</v>
      </c>
      <c r="ORI53" s="760">
        <f t="shared" si="201"/>
        <v>1.0041915567732073E+140</v>
      </c>
      <c r="ORJ53" s="760">
        <f t="shared" si="201"/>
        <v>1.0343173034764035E+140</v>
      </c>
      <c r="ORK53" s="760">
        <f t="shared" si="201"/>
        <v>1.0653468225806957E+140</v>
      </c>
      <c r="ORL53" s="760">
        <f t="shared" si="201"/>
        <v>1.0973072272581166E+140</v>
      </c>
      <c r="ORM53" s="760">
        <f t="shared" si="201"/>
        <v>1.1302264440758601E+140</v>
      </c>
      <c r="ORN53" s="760">
        <f t="shared" si="201"/>
        <v>1.164133237398136E+140</v>
      </c>
      <c r="ORO53" s="760">
        <f t="shared" si="201"/>
        <v>1.1990572345200802E+140</v>
      </c>
      <c r="ORP53" s="760">
        <f t="shared" si="201"/>
        <v>1.2350289515556826E+140</v>
      </c>
      <c r="ORQ53" s="760">
        <f t="shared" si="201"/>
        <v>1.2720798201023531E+140</v>
      </c>
      <c r="ORR53" s="760">
        <f t="shared" si="201"/>
        <v>1.3102422147054237E+140</v>
      </c>
      <c r="ORS53" s="760">
        <f t="shared" si="201"/>
        <v>1.3495494811465866E+140</v>
      </c>
      <c r="ORT53" s="760">
        <f t="shared" si="201"/>
        <v>1.3900359655809841E+140</v>
      </c>
      <c r="ORU53" s="760">
        <f t="shared" si="201"/>
        <v>1.4317370445484136E+140</v>
      </c>
      <c r="ORV53" s="760">
        <f t="shared" si="201"/>
        <v>1.4746891558848659E+140</v>
      </c>
      <c r="ORW53" s="760">
        <f t="shared" ref="ORW53:OUH53" si="202">+ORV53*$C$53</f>
        <v>1.518929830561412E+140</v>
      </c>
      <c r="ORX53" s="760">
        <f t="shared" si="202"/>
        <v>1.5644977254782544E+140</v>
      </c>
      <c r="ORY53" s="760">
        <f t="shared" si="202"/>
        <v>1.6114326572426021E+140</v>
      </c>
      <c r="ORZ53" s="760">
        <f t="shared" si="202"/>
        <v>1.6597756369598802E+140</v>
      </c>
      <c r="OSA53" s="760">
        <f t="shared" si="202"/>
        <v>1.7095689060686765E+140</v>
      </c>
      <c r="OSB53" s="760">
        <f t="shared" si="202"/>
        <v>1.7608559732507369E+140</v>
      </c>
      <c r="OSC53" s="760">
        <f t="shared" si="202"/>
        <v>1.8136816524482591E+140</v>
      </c>
      <c r="OSD53" s="760">
        <f t="shared" si="202"/>
        <v>1.8680921020217068E+140</v>
      </c>
      <c r="OSE53" s="760">
        <f t="shared" si="202"/>
        <v>1.924134865082358E+140</v>
      </c>
      <c r="OSF53" s="760">
        <f t="shared" si="202"/>
        <v>1.9818589110348286E+140</v>
      </c>
      <c r="OSG53" s="760">
        <f t="shared" si="202"/>
        <v>2.0413146783658736E+140</v>
      </c>
      <c r="OSH53" s="760">
        <f t="shared" si="202"/>
        <v>2.10255411871685E+140</v>
      </c>
      <c r="OSI53" s="760">
        <f t="shared" si="202"/>
        <v>2.1656307422783555E+140</v>
      </c>
      <c r="OSJ53" s="760">
        <f t="shared" si="202"/>
        <v>2.2305996645467062E+140</v>
      </c>
      <c r="OSK53" s="760">
        <f t="shared" si="202"/>
        <v>2.2975176544831073E+140</v>
      </c>
      <c r="OSL53" s="760">
        <f t="shared" si="202"/>
        <v>2.3664431841176004E+140</v>
      </c>
      <c r="OSM53" s="760">
        <f t="shared" si="202"/>
        <v>2.4374364796411285E+140</v>
      </c>
      <c r="OSN53" s="760">
        <f t="shared" si="202"/>
        <v>2.5105595740303625E+140</v>
      </c>
      <c r="OSO53" s="760">
        <f t="shared" si="202"/>
        <v>2.5858763612512734E+140</v>
      </c>
      <c r="OSP53" s="760">
        <f t="shared" si="202"/>
        <v>2.6634526520888115E+140</v>
      </c>
      <c r="OSQ53" s="760">
        <f t="shared" si="202"/>
        <v>2.7433562316514758E+140</v>
      </c>
      <c r="OSR53" s="760">
        <f t="shared" si="202"/>
        <v>2.82565691860102E+140</v>
      </c>
      <c r="OSS53" s="760">
        <f t="shared" si="202"/>
        <v>2.9104266261590506E+140</v>
      </c>
      <c r="OST53" s="760">
        <f t="shared" si="202"/>
        <v>2.9977394249438221E+140</v>
      </c>
      <c r="OSU53" s="760">
        <f t="shared" si="202"/>
        <v>3.0876716076921368E+140</v>
      </c>
      <c r="OSV53" s="760">
        <f t="shared" si="202"/>
        <v>3.1803017559229009E+140</v>
      </c>
      <c r="OSW53" s="760">
        <f t="shared" si="202"/>
        <v>3.275710808600588E+140</v>
      </c>
      <c r="OSX53" s="760">
        <f t="shared" si="202"/>
        <v>3.3739821328586056E+140</v>
      </c>
      <c r="OSY53" s="760">
        <f t="shared" si="202"/>
        <v>3.4752015968443638E+140</v>
      </c>
      <c r="OSZ53" s="760">
        <f t="shared" si="202"/>
        <v>3.5794576447496947E+140</v>
      </c>
      <c r="OTA53" s="760">
        <f t="shared" si="202"/>
        <v>3.6868413740921855E+140</v>
      </c>
      <c r="OTB53" s="760">
        <f t="shared" si="202"/>
        <v>3.7974466153149511E+140</v>
      </c>
      <c r="OTC53" s="760">
        <f t="shared" si="202"/>
        <v>3.9113700137743994E+140</v>
      </c>
      <c r="OTD53" s="760">
        <f t="shared" si="202"/>
        <v>4.0287111141876314E+140</v>
      </c>
      <c r="OTE53" s="760">
        <f t="shared" si="202"/>
        <v>4.1495724476132605E+140</v>
      </c>
      <c r="OTF53" s="760">
        <f t="shared" si="202"/>
        <v>4.2740596210416586E+140</v>
      </c>
      <c r="OTG53" s="760">
        <f t="shared" si="202"/>
        <v>4.4022814096729083E+140</v>
      </c>
      <c r="OTH53" s="760">
        <f t="shared" si="202"/>
        <v>4.5343498519630958E+140</v>
      </c>
      <c r="OTI53" s="760">
        <f t="shared" si="202"/>
        <v>4.6703803475219886E+140</v>
      </c>
      <c r="OTJ53" s="760">
        <f t="shared" si="202"/>
        <v>4.8104917579476488E+140</v>
      </c>
      <c r="OTK53" s="760">
        <f t="shared" si="202"/>
        <v>4.954806510686078E+140</v>
      </c>
      <c r="OTL53" s="760">
        <f t="shared" si="202"/>
        <v>5.1034507060066607E+140</v>
      </c>
      <c r="OTM53" s="760">
        <f t="shared" si="202"/>
        <v>5.2565542271868607E+140</v>
      </c>
      <c r="OTN53" s="760">
        <f t="shared" si="202"/>
        <v>5.414250854002467E+140</v>
      </c>
      <c r="OTO53" s="760">
        <f t="shared" si="202"/>
        <v>5.5766783796225415E+140</v>
      </c>
      <c r="OTP53" s="760">
        <f t="shared" si="202"/>
        <v>5.7439787310112177E+140</v>
      </c>
      <c r="OTQ53" s="760">
        <f t="shared" si="202"/>
        <v>5.9162980929415545E+140</v>
      </c>
      <c r="OTR53" s="760">
        <f t="shared" si="202"/>
        <v>6.0937870357298016E+140</v>
      </c>
      <c r="OTS53" s="760">
        <f t="shared" si="202"/>
        <v>6.2766006468016961E+140</v>
      </c>
      <c r="OTT53" s="760">
        <f t="shared" si="202"/>
        <v>6.4648986662057473E+140</v>
      </c>
      <c r="OTU53" s="760">
        <f t="shared" si="202"/>
        <v>6.6588456261919196E+140</v>
      </c>
      <c r="OTV53" s="760">
        <f t="shared" si="202"/>
        <v>6.8586109949776775E+140</v>
      </c>
      <c r="OTW53" s="760">
        <f t="shared" si="202"/>
        <v>7.0643693248270079E+140</v>
      </c>
      <c r="OTX53" s="760">
        <f t="shared" si="202"/>
        <v>7.2763004045718183E+140</v>
      </c>
      <c r="OTY53" s="760">
        <f t="shared" si="202"/>
        <v>7.4945894167089732E+140</v>
      </c>
      <c r="OTZ53" s="760">
        <f t="shared" si="202"/>
        <v>7.7194270992102426E+140</v>
      </c>
      <c r="OUA53" s="760">
        <f t="shared" si="202"/>
        <v>7.9510099121865503E+140</v>
      </c>
      <c r="OUB53" s="760">
        <f t="shared" si="202"/>
        <v>8.1895402095521467E+140</v>
      </c>
      <c r="OUC53" s="760">
        <f t="shared" si="202"/>
        <v>8.4352264158387117E+140</v>
      </c>
      <c r="OUD53" s="760">
        <f t="shared" si="202"/>
        <v>8.6882832083138733E+140</v>
      </c>
      <c r="OUE53" s="760">
        <f t="shared" si="202"/>
        <v>8.9489317045632905E+140</v>
      </c>
      <c r="OUF53" s="760">
        <f t="shared" si="202"/>
        <v>9.2173996557001896E+140</v>
      </c>
      <c r="OUG53" s="760">
        <f t="shared" si="202"/>
        <v>9.4939216453711958E+140</v>
      </c>
      <c r="OUH53" s="760">
        <f t="shared" si="202"/>
        <v>9.7787392947323313E+140</v>
      </c>
      <c r="OUI53" s="760">
        <f t="shared" ref="OUI53:OWT53" si="203">+OUH53*$C$53</f>
        <v>1.0072101473574302E+141</v>
      </c>
      <c r="OUJ53" s="760">
        <f t="shared" si="203"/>
        <v>1.0374264517781531E+141</v>
      </c>
      <c r="OUK53" s="760">
        <f t="shared" si="203"/>
        <v>1.0685492453314977E+141</v>
      </c>
      <c r="OUL53" s="760">
        <f t="shared" si="203"/>
        <v>1.1006057226914427E+141</v>
      </c>
      <c r="OUM53" s="760">
        <f t="shared" si="203"/>
        <v>1.133623894372186E+141</v>
      </c>
      <c r="OUN53" s="760">
        <f t="shared" si="203"/>
        <v>1.1676326112033516E+141</v>
      </c>
      <c r="OUO53" s="760">
        <f t="shared" si="203"/>
        <v>1.2026615895394522E+141</v>
      </c>
      <c r="OUP53" s="760">
        <f t="shared" si="203"/>
        <v>1.2387414372256359E+141</v>
      </c>
      <c r="OUQ53" s="760">
        <f t="shared" si="203"/>
        <v>1.275903680342405E+141</v>
      </c>
      <c r="OUR53" s="760">
        <f t="shared" si="203"/>
        <v>1.3141807907526772E+141</v>
      </c>
      <c r="OUS53" s="760">
        <f t="shared" si="203"/>
        <v>1.3536062144752575E+141</v>
      </c>
      <c r="OUT53" s="760">
        <f t="shared" si="203"/>
        <v>1.3942144009095153E+141</v>
      </c>
      <c r="OUU53" s="760">
        <f t="shared" si="203"/>
        <v>1.4360408329368008E+141</v>
      </c>
      <c r="OUV53" s="760">
        <f t="shared" si="203"/>
        <v>1.4791220579249049E+141</v>
      </c>
      <c r="OUW53" s="760">
        <f t="shared" si="203"/>
        <v>1.523495719662652E+141</v>
      </c>
      <c r="OUX53" s="760">
        <f t="shared" si="203"/>
        <v>1.5692005912525317E+141</v>
      </c>
      <c r="OUY53" s="760">
        <f t="shared" si="203"/>
        <v>1.6162766089901076E+141</v>
      </c>
      <c r="OUZ53" s="760">
        <f t="shared" si="203"/>
        <v>1.6647649072598109E+141</v>
      </c>
      <c r="OVA53" s="760">
        <f t="shared" si="203"/>
        <v>1.7147078544776053E+141</v>
      </c>
      <c r="OVB53" s="760">
        <f t="shared" si="203"/>
        <v>1.7661490901119336E+141</v>
      </c>
      <c r="OVC53" s="760">
        <f t="shared" si="203"/>
        <v>1.8191335628152916E+141</v>
      </c>
      <c r="OVD53" s="760">
        <f t="shared" si="203"/>
        <v>1.8737075696997504E+141</v>
      </c>
      <c r="OVE53" s="760">
        <f t="shared" si="203"/>
        <v>1.9299187967907428E+141</v>
      </c>
      <c r="OVF53" s="760">
        <f t="shared" si="203"/>
        <v>1.9878163606944653E+141</v>
      </c>
      <c r="OVG53" s="760">
        <f t="shared" si="203"/>
        <v>2.0474508515152993E+141</v>
      </c>
      <c r="OVH53" s="760">
        <f t="shared" si="203"/>
        <v>2.1088743770607585E+141</v>
      </c>
      <c r="OVI53" s="760">
        <f t="shared" si="203"/>
        <v>2.1721406083725814E+141</v>
      </c>
      <c r="OVJ53" s="760">
        <f t="shared" si="203"/>
        <v>2.2373048266237588E+141</v>
      </c>
      <c r="OVK53" s="760">
        <f t="shared" si="203"/>
        <v>2.3044239714224717E+141</v>
      </c>
      <c r="OVL53" s="760">
        <f t="shared" si="203"/>
        <v>2.3735566905651458E+141</v>
      </c>
      <c r="OVM53" s="760">
        <f t="shared" si="203"/>
        <v>2.4447633912821004E+141</v>
      </c>
      <c r="OVN53" s="760">
        <f t="shared" si="203"/>
        <v>2.5181062930205635E+141</v>
      </c>
      <c r="OVO53" s="760">
        <f t="shared" si="203"/>
        <v>2.5936494818111806E+141</v>
      </c>
      <c r="OVP53" s="760">
        <f t="shared" si="203"/>
        <v>2.6714589662655163E+141</v>
      </c>
      <c r="OVQ53" s="760">
        <f t="shared" si="203"/>
        <v>2.751602735253482E+141</v>
      </c>
      <c r="OVR53" s="760">
        <f t="shared" si="203"/>
        <v>2.8341508173110864E+141</v>
      </c>
      <c r="OVS53" s="760">
        <f t="shared" si="203"/>
        <v>2.919175341830419E+141</v>
      </c>
      <c r="OVT53" s="760">
        <f t="shared" si="203"/>
        <v>3.0067506020853315E+141</v>
      </c>
      <c r="OVU53" s="760">
        <f t="shared" si="203"/>
        <v>3.0969531201478914E+141</v>
      </c>
      <c r="OVV53" s="760">
        <f t="shared" si="203"/>
        <v>3.1898617137523285E+141</v>
      </c>
      <c r="OVW53" s="760">
        <f t="shared" si="203"/>
        <v>3.2855575651648981E+141</v>
      </c>
      <c r="OVX53" s="760">
        <f t="shared" si="203"/>
        <v>3.3841242921198451E+141</v>
      </c>
      <c r="OVY53" s="760">
        <f t="shared" si="203"/>
        <v>3.4856480208834406E+141</v>
      </c>
      <c r="OVZ53" s="760">
        <f t="shared" si="203"/>
        <v>3.5902174615099438E+141</v>
      </c>
      <c r="OWA53" s="760">
        <f t="shared" si="203"/>
        <v>3.6979239853552421E+141</v>
      </c>
      <c r="OWB53" s="760">
        <f t="shared" si="203"/>
        <v>3.8088617049158997E+141</v>
      </c>
      <c r="OWC53" s="760">
        <f t="shared" si="203"/>
        <v>3.9231275560633768E+141</v>
      </c>
      <c r="OWD53" s="760">
        <f t="shared" si="203"/>
        <v>4.0408213827452781E+141</v>
      </c>
      <c r="OWE53" s="760">
        <f t="shared" si="203"/>
        <v>4.1620460242276365E+141</v>
      </c>
      <c r="OWF53" s="760">
        <f t="shared" si="203"/>
        <v>4.2869074049544658E+141</v>
      </c>
      <c r="OWG53" s="760">
        <f t="shared" si="203"/>
        <v>4.4155146271030996E+141</v>
      </c>
      <c r="OWH53" s="760">
        <f t="shared" si="203"/>
        <v>4.5479800659161927E+141</v>
      </c>
      <c r="OWI53" s="760">
        <f t="shared" si="203"/>
        <v>4.6844194678936786E+141</v>
      </c>
      <c r="OWJ53" s="760">
        <f t="shared" si="203"/>
        <v>4.8249520519304893E+141</v>
      </c>
      <c r="OWK53" s="760">
        <f t="shared" si="203"/>
        <v>4.969700613488404E+141</v>
      </c>
      <c r="OWL53" s="760">
        <f t="shared" si="203"/>
        <v>5.1187916318930565E+141</v>
      </c>
      <c r="OWM53" s="760">
        <f t="shared" si="203"/>
        <v>5.2723553808498483E+141</v>
      </c>
      <c r="OWN53" s="760">
        <f t="shared" si="203"/>
        <v>5.4305260422753436E+141</v>
      </c>
      <c r="OWO53" s="760">
        <f t="shared" si="203"/>
        <v>5.593441823543604E+141</v>
      </c>
      <c r="OWP53" s="760">
        <f t="shared" si="203"/>
        <v>5.7612450782499125E+141</v>
      </c>
      <c r="OWQ53" s="760">
        <f t="shared" si="203"/>
        <v>5.93408243059741E+141</v>
      </c>
      <c r="OWR53" s="760">
        <f t="shared" si="203"/>
        <v>6.1121049035153325E+141</v>
      </c>
      <c r="OWS53" s="760">
        <f t="shared" si="203"/>
        <v>6.2954680506207925E+141</v>
      </c>
      <c r="OWT53" s="760">
        <f t="shared" si="203"/>
        <v>6.4843320921394162E+141</v>
      </c>
      <c r="OWU53" s="760">
        <f t="shared" ref="OWU53:OZF53" si="204">+OWT53*$C$53</f>
        <v>6.6788620549035984E+141</v>
      </c>
      <c r="OWV53" s="760">
        <f t="shared" si="204"/>
        <v>6.8792279165507063E+141</v>
      </c>
      <c r="OWW53" s="760">
        <f t="shared" si="204"/>
        <v>7.0856047540472279E+141</v>
      </c>
      <c r="OWX53" s="760">
        <f t="shared" si="204"/>
        <v>7.2981728966686452E+141</v>
      </c>
      <c r="OWY53" s="760">
        <f t="shared" si="204"/>
        <v>7.5171180835687046E+141</v>
      </c>
      <c r="OWZ53" s="760">
        <f t="shared" si="204"/>
        <v>7.742631626075766E+141</v>
      </c>
      <c r="OXA53" s="760">
        <f t="shared" si="204"/>
        <v>7.9749105748580391E+141</v>
      </c>
      <c r="OXB53" s="760">
        <f t="shared" si="204"/>
        <v>8.2141578921037798E+141</v>
      </c>
      <c r="OXC53" s="760">
        <f t="shared" si="204"/>
        <v>8.4605826288668941E+141</v>
      </c>
      <c r="OXD53" s="760">
        <f t="shared" si="204"/>
        <v>8.714400107732901E+141</v>
      </c>
      <c r="OXE53" s="760">
        <f t="shared" si="204"/>
        <v>8.9758321109648878E+141</v>
      </c>
      <c r="OXF53" s="760">
        <f t="shared" si="204"/>
        <v>9.2451070742938341E+141</v>
      </c>
      <c r="OXG53" s="760">
        <f t="shared" si="204"/>
        <v>9.5224602865226491E+141</v>
      </c>
      <c r="OXH53" s="760">
        <f t="shared" si="204"/>
        <v>9.8081340951183287E+141</v>
      </c>
      <c r="OXI53" s="760">
        <f t="shared" si="204"/>
        <v>1.0102378117971879E+142</v>
      </c>
      <c r="OXJ53" s="760">
        <f t="shared" si="204"/>
        <v>1.0405449461511035E+142</v>
      </c>
      <c r="OXK53" s="760">
        <f t="shared" si="204"/>
        <v>1.0717612945356367E+142</v>
      </c>
      <c r="OXL53" s="760">
        <f t="shared" si="204"/>
        <v>1.1039141333717059E+142</v>
      </c>
      <c r="OXM53" s="760">
        <f t="shared" si="204"/>
        <v>1.1370315573728571E+142</v>
      </c>
      <c r="OXN53" s="760">
        <f t="shared" si="204"/>
        <v>1.1711425040940429E+142</v>
      </c>
      <c r="OXO53" s="760">
        <f t="shared" si="204"/>
        <v>1.2062767792168641E+142</v>
      </c>
      <c r="OXP53" s="760">
        <f t="shared" si="204"/>
        <v>1.2424650825933702E+142</v>
      </c>
      <c r="OXQ53" s="760">
        <f t="shared" si="204"/>
        <v>1.2797390350711714E+142</v>
      </c>
      <c r="OXR53" s="760">
        <f t="shared" si="204"/>
        <v>1.3181312061233066E+142</v>
      </c>
      <c r="OXS53" s="760">
        <f t="shared" si="204"/>
        <v>1.3576751423070057E+142</v>
      </c>
      <c r="OXT53" s="760">
        <f t="shared" si="204"/>
        <v>1.3984053965762161E+142</v>
      </c>
      <c r="OXU53" s="760">
        <f t="shared" si="204"/>
        <v>1.4403575584735026E+142</v>
      </c>
      <c r="OXV53" s="760">
        <f t="shared" si="204"/>
        <v>1.4835682852277077E+142</v>
      </c>
      <c r="OXW53" s="760">
        <f t="shared" si="204"/>
        <v>1.528075333784539E+142</v>
      </c>
      <c r="OXX53" s="760">
        <f t="shared" si="204"/>
        <v>1.5739175937980754E+142</v>
      </c>
      <c r="OXY53" s="760">
        <f t="shared" si="204"/>
        <v>1.6211351216120177E+142</v>
      </c>
      <c r="OXZ53" s="760">
        <f t="shared" si="204"/>
        <v>1.6697691752603782E+142</v>
      </c>
      <c r="OYA53" s="760">
        <f t="shared" si="204"/>
        <v>1.7198622505181897E+142</v>
      </c>
      <c r="OYB53" s="760">
        <f t="shared" si="204"/>
        <v>1.7714581180337355E+142</v>
      </c>
      <c r="OYC53" s="760">
        <f t="shared" si="204"/>
        <v>1.8246018615747475E+142</v>
      </c>
      <c r="OYD53" s="760">
        <f t="shared" si="204"/>
        <v>1.8793399174219898E+142</v>
      </c>
      <c r="OYE53" s="760">
        <f t="shared" si="204"/>
        <v>1.9357201149446494E+142</v>
      </c>
      <c r="OYF53" s="760">
        <f t="shared" si="204"/>
        <v>1.9937917183929891E+142</v>
      </c>
      <c r="OYG53" s="760">
        <f t="shared" si="204"/>
        <v>2.0536054699447788E+142</v>
      </c>
      <c r="OYH53" s="760">
        <f t="shared" si="204"/>
        <v>2.1152136340431222E+142</v>
      </c>
      <c r="OYI53" s="760">
        <f t="shared" si="204"/>
        <v>2.1786700430644159E+142</v>
      </c>
      <c r="OYJ53" s="760">
        <f t="shared" si="204"/>
        <v>2.2440301443563484E+142</v>
      </c>
      <c r="OYK53" s="760">
        <f t="shared" si="204"/>
        <v>2.3113510486870389E+142</v>
      </c>
      <c r="OYL53" s="760">
        <f t="shared" si="204"/>
        <v>2.3806915801476501E+142</v>
      </c>
      <c r="OYM53" s="760">
        <f t="shared" si="204"/>
        <v>2.4521123275520798E+142</v>
      </c>
      <c r="OYN53" s="760">
        <f t="shared" si="204"/>
        <v>2.5256756973786422E+142</v>
      </c>
      <c r="OYO53" s="760">
        <f t="shared" si="204"/>
        <v>2.6014459683000017E+142</v>
      </c>
      <c r="OYP53" s="760">
        <f t="shared" si="204"/>
        <v>2.6794893473490018E+142</v>
      </c>
      <c r="OYQ53" s="760">
        <f t="shared" si="204"/>
        <v>2.7598740277694719E+142</v>
      </c>
      <c r="OYR53" s="760">
        <f t="shared" si="204"/>
        <v>2.8426702486025564E+142</v>
      </c>
      <c r="OYS53" s="760">
        <f t="shared" si="204"/>
        <v>2.9279503560606334E+142</v>
      </c>
      <c r="OYT53" s="760">
        <f t="shared" si="204"/>
        <v>3.0157888667424525E+142</v>
      </c>
      <c r="OYU53" s="760">
        <f t="shared" si="204"/>
        <v>3.1062625327447261E+142</v>
      </c>
      <c r="OYV53" s="760">
        <f t="shared" si="204"/>
        <v>3.1994504087270678E+142</v>
      </c>
      <c r="OYW53" s="760">
        <f t="shared" si="204"/>
        <v>3.2954339209888798E+142</v>
      </c>
      <c r="OYX53" s="760">
        <f t="shared" si="204"/>
        <v>3.3942969386185463E+142</v>
      </c>
      <c r="OYY53" s="760">
        <f t="shared" si="204"/>
        <v>3.4961258467771028E+142</v>
      </c>
      <c r="OYZ53" s="760">
        <f t="shared" si="204"/>
        <v>3.6010096221804158E+142</v>
      </c>
      <c r="OZA53" s="760">
        <f t="shared" si="204"/>
        <v>3.7090399108458284E+142</v>
      </c>
      <c r="OZB53" s="760">
        <f t="shared" si="204"/>
        <v>3.8203111081712034E+142</v>
      </c>
      <c r="OZC53" s="760">
        <f t="shared" si="204"/>
        <v>3.9349204414163393E+142</v>
      </c>
      <c r="OZD53" s="760">
        <f t="shared" si="204"/>
        <v>4.0529680546588298E+142</v>
      </c>
      <c r="OZE53" s="760">
        <f t="shared" si="204"/>
        <v>4.1745570962985949E+142</v>
      </c>
      <c r="OZF53" s="760">
        <f t="shared" si="204"/>
        <v>4.2997938091875528E+142</v>
      </c>
      <c r="OZG53" s="760">
        <f t="shared" ref="OZG53:PBR53" si="205">+OZF53*$C$53</f>
        <v>4.4287876234631794E+142</v>
      </c>
      <c r="OZH53" s="760">
        <f t="shared" si="205"/>
        <v>4.5616512521670749E+142</v>
      </c>
      <c r="OZI53" s="760">
        <f t="shared" si="205"/>
        <v>4.6985007897320873E+142</v>
      </c>
      <c r="OZJ53" s="760">
        <f t="shared" si="205"/>
        <v>4.8394558134240501E+142</v>
      </c>
      <c r="OZK53" s="760">
        <f t="shared" si="205"/>
        <v>4.9846394878267723E+142</v>
      </c>
      <c r="OZL53" s="760">
        <f t="shared" si="205"/>
        <v>5.1341786724615754E+142</v>
      </c>
      <c r="OZM53" s="760">
        <f t="shared" si="205"/>
        <v>5.2882040326354228E+142</v>
      </c>
      <c r="OZN53" s="760">
        <f t="shared" si="205"/>
        <v>5.446850153614486E+142</v>
      </c>
      <c r="OZO53" s="760">
        <f t="shared" si="205"/>
        <v>5.6102556582229212E+142</v>
      </c>
      <c r="OZP53" s="760">
        <f t="shared" si="205"/>
        <v>5.7785633279696088E+142</v>
      </c>
      <c r="OZQ53" s="760">
        <f t="shared" si="205"/>
        <v>5.9519202278086976E+142</v>
      </c>
      <c r="OZR53" s="760">
        <f t="shared" si="205"/>
        <v>6.1304778346429581E+142</v>
      </c>
      <c r="OZS53" s="760">
        <f t="shared" si="205"/>
        <v>6.3143921696822474E+142</v>
      </c>
      <c r="OZT53" s="760">
        <f t="shared" si="205"/>
        <v>6.5038239347727153E+142</v>
      </c>
      <c r="OZU53" s="760">
        <f t="shared" si="205"/>
        <v>6.698938652815897E+142</v>
      </c>
      <c r="OZV53" s="760">
        <f t="shared" si="205"/>
        <v>6.8999068124003743E+142</v>
      </c>
      <c r="OZW53" s="760">
        <f t="shared" si="205"/>
        <v>7.1069040167723862E+142</v>
      </c>
      <c r="OZX53" s="760">
        <f t="shared" si="205"/>
        <v>7.3201111372755578E+142</v>
      </c>
      <c r="OZY53" s="760">
        <f t="shared" si="205"/>
        <v>7.5397144713938252E+142</v>
      </c>
      <c r="OZZ53" s="760">
        <f t="shared" si="205"/>
        <v>7.7659059055356404E+142</v>
      </c>
      <c r="PAA53" s="760">
        <f t="shared" si="205"/>
        <v>7.99888308270171E+142</v>
      </c>
      <c r="PAB53" s="760">
        <f t="shared" si="205"/>
        <v>8.2388495751827615E+142</v>
      </c>
      <c r="PAC53" s="760">
        <f t="shared" si="205"/>
        <v>8.4860150624382448E+142</v>
      </c>
      <c r="PAD53" s="760">
        <f t="shared" si="205"/>
        <v>8.7405955143113922E+142</v>
      </c>
      <c r="PAE53" s="760">
        <f t="shared" si="205"/>
        <v>9.0028133797407339E+142</v>
      </c>
      <c r="PAF53" s="760">
        <f t="shared" si="205"/>
        <v>9.2728977811329564E+142</v>
      </c>
      <c r="PAG53" s="760">
        <f t="shared" si="205"/>
        <v>9.5510847145669449E+142</v>
      </c>
      <c r="PAH53" s="760">
        <f t="shared" si="205"/>
        <v>9.8376172560039529E+142</v>
      </c>
      <c r="PAI53" s="760">
        <f t="shared" si="205"/>
        <v>1.0132745773684072E+143</v>
      </c>
      <c r="PAJ53" s="760">
        <f t="shared" si="205"/>
        <v>1.0436728146894595E+143</v>
      </c>
      <c r="PAK53" s="760">
        <f t="shared" si="205"/>
        <v>1.0749829991301434E+143</v>
      </c>
      <c r="PAL53" s="760">
        <f t="shared" si="205"/>
        <v>1.1072324891040477E+143</v>
      </c>
      <c r="PAM53" s="760">
        <f t="shared" si="205"/>
        <v>1.1404494637771691E+143</v>
      </c>
      <c r="PAN53" s="760">
        <f t="shared" si="205"/>
        <v>1.1746629476904841E+143</v>
      </c>
      <c r="PAO53" s="760">
        <f t="shared" si="205"/>
        <v>1.2099028361211986E+143</v>
      </c>
      <c r="PAP53" s="760">
        <f t="shared" si="205"/>
        <v>1.2461999212048345E+143</v>
      </c>
      <c r="PAQ53" s="760">
        <f t="shared" si="205"/>
        <v>1.2835859188409797E+143</v>
      </c>
      <c r="PAR53" s="760">
        <f t="shared" si="205"/>
        <v>1.322093496406209E+143</v>
      </c>
      <c r="PAS53" s="760">
        <f t="shared" si="205"/>
        <v>1.3617563012983953E+143</v>
      </c>
      <c r="PAT53" s="760">
        <f t="shared" si="205"/>
        <v>1.4026089903373472E+143</v>
      </c>
      <c r="PAU53" s="760">
        <f t="shared" si="205"/>
        <v>1.4446872600474677E+143</v>
      </c>
      <c r="PAV53" s="760">
        <f t="shared" si="205"/>
        <v>1.4880278778488917E+143</v>
      </c>
      <c r="PAW53" s="760">
        <f t="shared" si="205"/>
        <v>1.5326687141843586E+143</v>
      </c>
      <c r="PAX53" s="760">
        <f t="shared" si="205"/>
        <v>1.5786487756098893E+143</v>
      </c>
      <c r="PAY53" s="760">
        <f t="shared" si="205"/>
        <v>1.626008238878186E+143</v>
      </c>
      <c r="PAZ53" s="760">
        <f t="shared" si="205"/>
        <v>1.6747884860445316E+143</v>
      </c>
      <c r="PBA53" s="760">
        <f t="shared" si="205"/>
        <v>1.7250321406258676E+143</v>
      </c>
      <c r="PBB53" s="760">
        <f t="shared" si="205"/>
        <v>1.7767831048446437E+143</v>
      </c>
      <c r="PBC53" s="760">
        <f t="shared" si="205"/>
        <v>1.8300865979899829E+143</v>
      </c>
      <c r="PBD53" s="760">
        <f t="shared" si="205"/>
        <v>1.8849891959296826E+143</v>
      </c>
      <c r="PBE53" s="760">
        <f t="shared" si="205"/>
        <v>1.9415388718075732E+143</v>
      </c>
      <c r="PBF53" s="760">
        <f t="shared" si="205"/>
        <v>1.9997850379618005E+143</v>
      </c>
      <c r="PBG53" s="760">
        <f t="shared" si="205"/>
        <v>2.0597785891006547E+143</v>
      </c>
      <c r="PBH53" s="760">
        <f t="shared" si="205"/>
        <v>2.1215719467736743E+143</v>
      </c>
      <c r="PBI53" s="760">
        <f t="shared" si="205"/>
        <v>2.1852191051768848E+143</v>
      </c>
      <c r="PBJ53" s="760">
        <f t="shared" si="205"/>
        <v>2.2507756783321914E+143</v>
      </c>
      <c r="PBK53" s="760">
        <f t="shared" si="205"/>
        <v>2.3182989486821572E+143</v>
      </c>
      <c r="PBL53" s="760">
        <f t="shared" si="205"/>
        <v>2.3878479171426218E+143</v>
      </c>
      <c r="PBM53" s="760">
        <f t="shared" si="205"/>
        <v>2.4594833546569003E+143</v>
      </c>
      <c r="PBN53" s="760">
        <f t="shared" si="205"/>
        <v>2.5332678552966072E+143</v>
      </c>
      <c r="PBO53" s="760">
        <f t="shared" si="205"/>
        <v>2.6092658909555053E+143</v>
      </c>
      <c r="PBP53" s="760">
        <f t="shared" si="205"/>
        <v>2.6875438676841706E+143</v>
      </c>
      <c r="PBQ53" s="760">
        <f t="shared" si="205"/>
        <v>2.768170183714696E+143</v>
      </c>
      <c r="PBR53" s="760">
        <f t="shared" si="205"/>
        <v>2.8512152892261371E+143</v>
      </c>
      <c r="PBS53" s="760">
        <f t="shared" ref="PBS53:PED53" si="206">+PBR53*$C$53</f>
        <v>2.9367517479029211E+143</v>
      </c>
      <c r="PBT53" s="760">
        <f t="shared" si="206"/>
        <v>3.0248543003400087E+143</v>
      </c>
      <c r="PBU53" s="760">
        <f t="shared" si="206"/>
        <v>3.1155999293502089E+143</v>
      </c>
      <c r="PBV53" s="760">
        <f t="shared" si="206"/>
        <v>3.2090679272307151E+143</v>
      </c>
      <c r="PBW53" s="760">
        <f t="shared" si="206"/>
        <v>3.3053399650476366E+143</v>
      </c>
      <c r="PBX53" s="760">
        <f t="shared" si="206"/>
        <v>3.4045001639990657E+143</v>
      </c>
      <c r="PBY53" s="760">
        <f t="shared" si="206"/>
        <v>3.5066351689190378E+143</v>
      </c>
      <c r="PBZ53" s="760">
        <f t="shared" si="206"/>
        <v>3.6118342239866089E+143</v>
      </c>
      <c r="PCA53" s="760">
        <f t="shared" si="206"/>
        <v>3.7201892507062071E+143</v>
      </c>
      <c r="PCB53" s="760">
        <f t="shared" si="206"/>
        <v>3.8317949282273935E+143</v>
      </c>
      <c r="PCC53" s="760">
        <f t="shared" si="206"/>
        <v>3.9467487760742156E+143</v>
      </c>
      <c r="PCD53" s="760">
        <f t="shared" si="206"/>
        <v>4.0651512393564424E+143</v>
      </c>
      <c r="PCE53" s="760">
        <f t="shared" si="206"/>
        <v>4.1871057765371356E+143</v>
      </c>
      <c r="PCF53" s="760">
        <f t="shared" si="206"/>
        <v>4.3127189498332502E+143</v>
      </c>
      <c r="PCG53" s="760">
        <f t="shared" si="206"/>
        <v>4.442100518328248E+143</v>
      </c>
      <c r="PCH53" s="760">
        <f t="shared" si="206"/>
        <v>4.5753635338780958E+143</v>
      </c>
      <c r="PCI53" s="760">
        <f t="shared" si="206"/>
        <v>4.7126244398944387E+143</v>
      </c>
      <c r="PCJ53" s="760">
        <f t="shared" si="206"/>
        <v>4.8540031730912724E+143</v>
      </c>
      <c r="PCK53" s="760">
        <f t="shared" si="206"/>
        <v>4.9996232682840111E+143</v>
      </c>
      <c r="PCL53" s="760">
        <f t="shared" si="206"/>
        <v>5.1496119663325318E+143</v>
      </c>
      <c r="PCM53" s="760">
        <f t="shared" si="206"/>
        <v>5.3041003253225078E+143</v>
      </c>
      <c r="PCN53" s="760">
        <f t="shared" si="206"/>
        <v>5.463223335082183E+143</v>
      </c>
      <c r="PCO53" s="760">
        <f t="shared" si="206"/>
        <v>5.6271200351346485E+143</v>
      </c>
      <c r="PCP53" s="760">
        <f t="shared" si="206"/>
        <v>5.7959336361886882E+143</v>
      </c>
      <c r="PCQ53" s="760">
        <f t="shared" si="206"/>
        <v>5.9698116452743494E+143</v>
      </c>
      <c r="PCR53" s="760">
        <f t="shared" si="206"/>
        <v>6.1489059946325801E+143</v>
      </c>
      <c r="PCS53" s="760">
        <f t="shared" si="206"/>
        <v>6.3333731744715572E+143</v>
      </c>
      <c r="PCT53" s="760">
        <f t="shared" si="206"/>
        <v>6.5233743697057038E+143</v>
      </c>
      <c r="PCU53" s="760">
        <f t="shared" si="206"/>
        <v>6.7190756007968749E+143</v>
      </c>
      <c r="PCV53" s="760">
        <f t="shared" si="206"/>
        <v>6.9206478688207814E+143</v>
      </c>
      <c r="PCW53" s="760">
        <f t="shared" si="206"/>
        <v>7.1282673048854047E+143</v>
      </c>
      <c r="PCX53" s="760">
        <f t="shared" si="206"/>
        <v>7.3421153240319674E+143</v>
      </c>
      <c r="PCY53" s="760">
        <f t="shared" si="206"/>
        <v>7.5623787837529268E+143</v>
      </c>
      <c r="PCZ53" s="760">
        <f t="shared" si="206"/>
        <v>7.7892501472655153E+143</v>
      </c>
      <c r="PDA53" s="760">
        <f t="shared" si="206"/>
        <v>8.0229276516834808E+143</v>
      </c>
      <c r="PDB53" s="760">
        <f t="shared" si="206"/>
        <v>8.263615481233986E+143</v>
      </c>
      <c r="PDC53" s="760">
        <f t="shared" si="206"/>
        <v>8.5115239456710063E+143</v>
      </c>
      <c r="PDD53" s="760">
        <f t="shared" si="206"/>
        <v>8.7668696640411376E+143</v>
      </c>
      <c r="PDE53" s="760">
        <f t="shared" si="206"/>
        <v>9.0298757539623722E+143</v>
      </c>
      <c r="PDF53" s="760">
        <f t="shared" si="206"/>
        <v>9.3007720265812428E+143</v>
      </c>
      <c r="PDG53" s="760">
        <f t="shared" si="206"/>
        <v>9.5797951873786799E+143</v>
      </c>
      <c r="PDH53" s="760">
        <f t="shared" si="206"/>
        <v>9.8671890430000406E+143</v>
      </c>
      <c r="PDI53" s="760">
        <f t="shared" si="206"/>
        <v>1.0163204714290043E+144</v>
      </c>
      <c r="PDJ53" s="760">
        <f t="shared" si="206"/>
        <v>1.0468100855718744E+144</v>
      </c>
      <c r="PDK53" s="760">
        <f t="shared" si="206"/>
        <v>1.0782143881390306E+144</v>
      </c>
      <c r="PDL53" s="760">
        <f t="shared" si="206"/>
        <v>1.1105608197832015E+144</v>
      </c>
      <c r="PDM53" s="760">
        <f t="shared" si="206"/>
        <v>1.1438776443766976E+144</v>
      </c>
      <c r="PDN53" s="760">
        <f t="shared" si="206"/>
        <v>1.1781939737079986E+144</v>
      </c>
      <c r="PDO53" s="760">
        <f t="shared" si="206"/>
        <v>1.2135397929192386E+144</v>
      </c>
      <c r="PDP53" s="760">
        <f t="shared" si="206"/>
        <v>1.2499459867068157E+144</v>
      </c>
      <c r="PDQ53" s="760">
        <f t="shared" si="206"/>
        <v>1.2874443663080203E+144</v>
      </c>
      <c r="PDR53" s="760">
        <f t="shared" si="206"/>
        <v>1.3260676972972609E+144</v>
      </c>
      <c r="PDS53" s="760">
        <f t="shared" si="206"/>
        <v>1.3658497282161787E+144</v>
      </c>
      <c r="PDT53" s="760">
        <f t="shared" si="206"/>
        <v>1.4068252200626641E+144</v>
      </c>
      <c r="PDU53" s="760">
        <f t="shared" si="206"/>
        <v>1.4490299766645441E+144</v>
      </c>
      <c r="PDV53" s="760">
        <f t="shared" si="206"/>
        <v>1.4925008759644804E+144</v>
      </c>
      <c r="PDW53" s="760">
        <f t="shared" si="206"/>
        <v>1.5372759022434149E+144</v>
      </c>
      <c r="PDX53" s="760">
        <f t="shared" si="206"/>
        <v>1.5833941793107173E+144</v>
      </c>
      <c r="PDY53" s="760">
        <f t="shared" si="206"/>
        <v>1.630896004690039E+144</v>
      </c>
      <c r="PDZ53" s="760">
        <f t="shared" si="206"/>
        <v>1.6798228848307403E+144</v>
      </c>
      <c r="PEA53" s="760">
        <f t="shared" si="206"/>
        <v>1.7302175713756627E+144</v>
      </c>
      <c r="PEB53" s="760">
        <f t="shared" si="206"/>
        <v>1.7821240985169327E+144</v>
      </c>
      <c r="PEC53" s="760">
        <f t="shared" si="206"/>
        <v>1.8355878214724409E+144</v>
      </c>
      <c r="PED53" s="760">
        <f t="shared" si="206"/>
        <v>1.8906554561166142E+144</v>
      </c>
      <c r="PEE53" s="760">
        <f t="shared" ref="PEE53:PGP53" si="207">+PED53*$C$53</f>
        <v>1.9473751198001129E+144</v>
      </c>
      <c r="PEF53" s="760">
        <f t="shared" si="207"/>
        <v>2.0057963733941161E+144</v>
      </c>
      <c r="PEG53" s="760">
        <f t="shared" si="207"/>
        <v>2.0659702645959396E+144</v>
      </c>
      <c r="PEH53" s="760">
        <f t="shared" si="207"/>
        <v>2.1279493725338177E+144</v>
      </c>
      <c r="PEI53" s="760">
        <f t="shared" si="207"/>
        <v>2.1917878537098324E+144</v>
      </c>
      <c r="PEJ53" s="760">
        <f t="shared" si="207"/>
        <v>2.2575414893211274E+144</v>
      </c>
      <c r="PEK53" s="760">
        <f t="shared" si="207"/>
        <v>2.3252677340007612E+144</v>
      </c>
      <c r="PEL53" s="760">
        <f t="shared" si="207"/>
        <v>2.395025766020784E+144</v>
      </c>
      <c r="PEM53" s="760">
        <f t="shared" si="207"/>
        <v>2.4668765390014077E+144</v>
      </c>
      <c r="PEN53" s="760">
        <f t="shared" si="207"/>
        <v>2.5408828351714501E+144</v>
      </c>
      <c r="PEO53" s="760">
        <f t="shared" si="207"/>
        <v>2.6171093202265936E+144</v>
      </c>
      <c r="PEP53" s="760">
        <f t="shared" si="207"/>
        <v>2.6956225998333916E+144</v>
      </c>
      <c r="PEQ53" s="760">
        <f t="shared" si="207"/>
        <v>2.7764912778283933E+144</v>
      </c>
      <c r="PER53" s="760">
        <f t="shared" si="207"/>
        <v>2.8597860161632451E+144</v>
      </c>
      <c r="PES53" s="760">
        <f t="shared" si="207"/>
        <v>2.9455795966481423E+144</v>
      </c>
      <c r="PET53" s="760">
        <f t="shared" si="207"/>
        <v>3.0339469845475868E+144</v>
      </c>
      <c r="PEU53" s="760">
        <f t="shared" si="207"/>
        <v>3.1249653940840144E+144</v>
      </c>
      <c r="PEV53" s="760">
        <f t="shared" si="207"/>
        <v>3.218714355906535E+144</v>
      </c>
      <c r="PEW53" s="760">
        <f t="shared" si="207"/>
        <v>3.315275786583731E+144</v>
      </c>
      <c r="PEX53" s="760">
        <f t="shared" si="207"/>
        <v>3.414734060181243E+144</v>
      </c>
      <c r="PEY53" s="760">
        <f t="shared" si="207"/>
        <v>3.5171760819866806E+144</v>
      </c>
      <c r="PEZ53" s="760">
        <f t="shared" si="207"/>
        <v>3.6226913644462814E+144</v>
      </c>
      <c r="PFA53" s="760">
        <f t="shared" si="207"/>
        <v>3.7313721053796697E+144</v>
      </c>
      <c r="PFB53" s="760">
        <f t="shared" si="207"/>
        <v>3.84331326854106E+144</v>
      </c>
      <c r="PFC53" s="760">
        <f t="shared" si="207"/>
        <v>3.9586126665972919E+144</v>
      </c>
      <c r="PFD53" s="760">
        <f t="shared" si="207"/>
        <v>4.077371046595211E+144</v>
      </c>
      <c r="PFE53" s="760">
        <f t="shared" si="207"/>
        <v>4.1996921779930677E+144</v>
      </c>
      <c r="PFF53" s="760">
        <f t="shared" si="207"/>
        <v>4.3256829433328599E+144</v>
      </c>
      <c r="PFG53" s="760">
        <f t="shared" si="207"/>
        <v>4.4554534316328456E+144</v>
      </c>
      <c r="PFH53" s="760">
        <f t="shared" si="207"/>
        <v>4.5891170345818311E+144</v>
      </c>
      <c r="PFI53" s="760">
        <f t="shared" si="207"/>
        <v>4.7267905456192864E+144</v>
      </c>
      <c r="PFJ53" s="760">
        <f t="shared" si="207"/>
        <v>4.8685942619878649E+144</v>
      </c>
      <c r="PFK53" s="760">
        <f t="shared" si="207"/>
        <v>5.014652089847501E+144</v>
      </c>
      <c r="PFL53" s="760">
        <f t="shared" si="207"/>
        <v>5.1650916525429262E+144</v>
      </c>
      <c r="PFM53" s="760">
        <f t="shared" si="207"/>
        <v>5.320044402119214E+144</v>
      </c>
      <c r="PFN53" s="760">
        <f t="shared" si="207"/>
        <v>5.4796457341827909E+144</v>
      </c>
      <c r="PFO53" s="760">
        <f t="shared" si="207"/>
        <v>5.6440351062082746E+144</v>
      </c>
      <c r="PFP53" s="760">
        <f t="shared" si="207"/>
        <v>5.813356159394523E+144</v>
      </c>
      <c r="PFQ53" s="760">
        <f t="shared" si="207"/>
        <v>5.987756844176359E+144</v>
      </c>
      <c r="PFR53" s="760">
        <f t="shared" si="207"/>
        <v>6.16738954950165E+144</v>
      </c>
      <c r="PFS53" s="760">
        <f t="shared" si="207"/>
        <v>6.3524112359866994E+144</v>
      </c>
      <c r="PFT53" s="760">
        <f t="shared" si="207"/>
        <v>6.5429835730663006E+144</v>
      </c>
      <c r="PFU53" s="760">
        <f t="shared" si="207"/>
        <v>6.7392730802582897E+144</v>
      </c>
      <c r="PFV53" s="760">
        <f t="shared" si="207"/>
        <v>6.9414512726660385E+144</v>
      </c>
      <c r="PFW53" s="760">
        <f t="shared" si="207"/>
        <v>7.1496948108460198E+144</v>
      </c>
      <c r="PFX53" s="760">
        <f t="shared" si="207"/>
        <v>7.3641856551714009E+144</v>
      </c>
      <c r="PFY53" s="760">
        <f t="shared" si="207"/>
        <v>7.5851112248265427E+144</v>
      </c>
      <c r="PFZ53" s="760">
        <f t="shared" si="207"/>
        <v>7.8126645615713398E+144</v>
      </c>
      <c r="PGA53" s="760">
        <f t="shared" si="207"/>
        <v>8.0470444984184806E+144</v>
      </c>
      <c r="PGB53" s="760">
        <f t="shared" si="207"/>
        <v>8.288455833371035E+144</v>
      </c>
      <c r="PGC53" s="760">
        <f t="shared" si="207"/>
        <v>8.5371095083721657E+144</v>
      </c>
      <c r="PGD53" s="760">
        <f t="shared" si="207"/>
        <v>8.7932227936233302E+144</v>
      </c>
      <c r="PGE53" s="760">
        <f t="shared" si="207"/>
        <v>9.0570194774320302E+144</v>
      </c>
      <c r="PGF53" s="760">
        <f t="shared" si="207"/>
        <v>9.328730061754992E+144</v>
      </c>
      <c r="PGG53" s="760">
        <f t="shared" si="207"/>
        <v>9.6085919636076421E+144</v>
      </c>
      <c r="PGH53" s="760">
        <f t="shared" si="207"/>
        <v>9.8968497225158719E+144</v>
      </c>
      <c r="PGI53" s="760">
        <f t="shared" si="207"/>
        <v>1.0193755214191348E+145</v>
      </c>
      <c r="PGJ53" s="760">
        <f t="shared" si="207"/>
        <v>1.0499567870617089E+145</v>
      </c>
      <c r="PGK53" s="760">
        <f t="shared" si="207"/>
        <v>1.0814554906735602E+145</v>
      </c>
      <c r="PGL53" s="760">
        <f t="shared" si="207"/>
        <v>1.1138991553937671E+145</v>
      </c>
      <c r="PGM53" s="760">
        <f t="shared" si="207"/>
        <v>1.1473161300555801E+145</v>
      </c>
      <c r="PGN53" s="760">
        <f t="shared" si="207"/>
        <v>1.1817356139572474E+145</v>
      </c>
      <c r="PGO53" s="760">
        <f t="shared" si="207"/>
        <v>1.2171876823759649E+145</v>
      </c>
      <c r="PGP53" s="760">
        <f t="shared" si="207"/>
        <v>1.2537033128472437E+145</v>
      </c>
      <c r="PGQ53" s="760">
        <f t="shared" ref="PGQ53:PJB53" si="208">+PGP53*$C$53</f>
        <v>1.2913144122326611E+145</v>
      </c>
      <c r="PGR53" s="760">
        <f t="shared" si="208"/>
        <v>1.3300538445996409E+145</v>
      </c>
      <c r="PGS53" s="760">
        <f t="shared" si="208"/>
        <v>1.3699554599376301E+145</v>
      </c>
      <c r="PGT53" s="760">
        <f t="shared" si="208"/>
        <v>1.411054123735759E+145</v>
      </c>
      <c r="PGU53" s="760">
        <f t="shared" si="208"/>
        <v>1.4533857474478317E+145</v>
      </c>
      <c r="PGV53" s="760">
        <f t="shared" si="208"/>
        <v>1.4969873198712667E+145</v>
      </c>
      <c r="PGW53" s="760">
        <f t="shared" si="208"/>
        <v>1.5418969394674047E+145</v>
      </c>
      <c r="PGX53" s="760">
        <f t="shared" si="208"/>
        <v>1.5881538476514269E+145</v>
      </c>
      <c r="PGY53" s="760">
        <f t="shared" si="208"/>
        <v>1.6357984630809696E+145</v>
      </c>
      <c r="PGZ53" s="760">
        <f t="shared" si="208"/>
        <v>1.6848724169733987E+145</v>
      </c>
      <c r="PHA53" s="760">
        <f t="shared" si="208"/>
        <v>1.7354185894826008E+145</v>
      </c>
      <c r="PHB53" s="760">
        <f t="shared" si="208"/>
        <v>1.7874811471670789E+145</v>
      </c>
      <c r="PHC53" s="760">
        <f t="shared" si="208"/>
        <v>1.8411055815820913E+145</v>
      </c>
      <c r="PHD53" s="760">
        <f t="shared" si="208"/>
        <v>1.8963387490295541E+145</v>
      </c>
      <c r="PHE53" s="760">
        <f t="shared" si="208"/>
        <v>1.9532289115004408E+145</v>
      </c>
      <c r="PHF53" s="760">
        <f t="shared" si="208"/>
        <v>2.0118257788454542E+145</v>
      </c>
      <c r="PHG53" s="760">
        <f t="shared" si="208"/>
        <v>2.0721805522108179E+145</v>
      </c>
      <c r="PHH53" s="760">
        <f t="shared" si="208"/>
        <v>2.1343459687771426E+145</v>
      </c>
      <c r="PHI53" s="760">
        <f t="shared" si="208"/>
        <v>2.1983763478404568E+145</v>
      </c>
      <c r="PHJ53" s="760">
        <f t="shared" si="208"/>
        <v>2.2643276382756704E+145</v>
      </c>
      <c r="PHK53" s="760">
        <f t="shared" si="208"/>
        <v>2.3322574674239406E+145</v>
      </c>
      <c r="PHL53" s="760">
        <f t="shared" si="208"/>
        <v>2.402225191446659E+145</v>
      </c>
      <c r="PHM53" s="760">
        <f t="shared" si="208"/>
        <v>2.4742919471900588E+145</v>
      </c>
      <c r="PHN53" s="760">
        <f t="shared" si="208"/>
        <v>2.5485207056057604E+145</v>
      </c>
      <c r="PHO53" s="760">
        <f t="shared" si="208"/>
        <v>2.6249763267739334E+145</v>
      </c>
      <c r="PHP53" s="760">
        <f t="shared" si="208"/>
        <v>2.7037256165771512E+145</v>
      </c>
      <c r="PHQ53" s="760">
        <f t="shared" si="208"/>
        <v>2.7848373850744656E+145</v>
      </c>
      <c r="PHR53" s="760">
        <f t="shared" si="208"/>
        <v>2.8683825066266997E+145</v>
      </c>
      <c r="PHS53" s="760">
        <f t="shared" si="208"/>
        <v>2.9544339818255006E+145</v>
      </c>
      <c r="PHT53" s="760">
        <f t="shared" si="208"/>
        <v>3.0430670012802655E+145</v>
      </c>
      <c r="PHU53" s="760">
        <f t="shared" si="208"/>
        <v>3.1343590113186735E+145</v>
      </c>
      <c r="PHV53" s="760">
        <f t="shared" si="208"/>
        <v>3.2283897816582338E+145</v>
      </c>
      <c r="PHW53" s="760">
        <f t="shared" si="208"/>
        <v>3.325241475107981E+145</v>
      </c>
      <c r="PHX53" s="760">
        <f t="shared" si="208"/>
        <v>3.4249987193612204E+145</v>
      </c>
      <c r="PHY53" s="760">
        <f t="shared" si="208"/>
        <v>3.5277486809420572E+145</v>
      </c>
      <c r="PHZ53" s="760">
        <f t="shared" si="208"/>
        <v>3.6335811413703188E+145</v>
      </c>
      <c r="PIA53" s="760">
        <f t="shared" si="208"/>
        <v>3.7425885756114283E+145</v>
      </c>
      <c r="PIB53" s="760">
        <f t="shared" si="208"/>
        <v>3.8548662328797713E+145</v>
      </c>
      <c r="PIC53" s="760">
        <f t="shared" si="208"/>
        <v>3.9705122198661647E+145</v>
      </c>
      <c r="PID53" s="760">
        <f t="shared" si="208"/>
        <v>4.0896275864621497E+145</v>
      </c>
      <c r="PIE53" s="760">
        <f t="shared" si="208"/>
        <v>4.2123164140560143E+145</v>
      </c>
      <c r="PIF53" s="760">
        <f t="shared" si="208"/>
        <v>4.3386859064776949E+145</v>
      </c>
      <c r="PIG53" s="760">
        <f t="shared" si="208"/>
        <v>4.4688464836720261E+145</v>
      </c>
      <c r="PIH53" s="760">
        <f t="shared" si="208"/>
        <v>4.6029118781821871E+145</v>
      </c>
      <c r="PII53" s="760">
        <f t="shared" si="208"/>
        <v>4.7409992345276531E+145</v>
      </c>
      <c r="PIJ53" s="760">
        <f t="shared" si="208"/>
        <v>4.8832292115634827E+145</v>
      </c>
      <c r="PIK53" s="760">
        <f t="shared" si="208"/>
        <v>5.0297260879103871E+145</v>
      </c>
      <c r="PIL53" s="760">
        <f t="shared" si="208"/>
        <v>5.180617870547699E+145</v>
      </c>
      <c r="PIM53" s="760">
        <f t="shared" si="208"/>
        <v>5.3360364066641303E+145</v>
      </c>
      <c r="PIN53" s="760">
        <f t="shared" si="208"/>
        <v>5.4961174988640542E+145</v>
      </c>
      <c r="PIO53" s="760">
        <f t="shared" si="208"/>
        <v>5.661001023829976E+145</v>
      </c>
      <c r="PIP53" s="760">
        <f t="shared" si="208"/>
        <v>5.8308310545448754E+145</v>
      </c>
      <c r="PIQ53" s="760">
        <f t="shared" si="208"/>
        <v>6.0057559861812222E+145</v>
      </c>
      <c r="PIR53" s="760">
        <f t="shared" si="208"/>
        <v>6.1859286657666595E+145</v>
      </c>
      <c r="PIS53" s="760">
        <f t="shared" si="208"/>
        <v>6.3715065257396595E+145</v>
      </c>
      <c r="PIT53" s="760">
        <f t="shared" si="208"/>
        <v>6.5626517215118497E+145</v>
      </c>
      <c r="PIU53" s="760">
        <f t="shared" si="208"/>
        <v>6.7595312731572058E+145</v>
      </c>
      <c r="PIV53" s="760">
        <f t="shared" si="208"/>
        <v>6.9623172113519224E+145</v>
      </c>
      <c r="PIW53" s="760">
        <f t="shared" si="208"/>
        <v>7.1711867276924802E+145</v>
      </c>
      <c r="PIX53" s="760">
        <f t="shared" si="208"/>
        <v>7.3863223295232552E+145</v>
      </c>
      <c r="PIY53" s="760">
        <f t="shared" si="208"/>
        <v>7.607911999408953E+145</v>
      </c>
      <c r="PIZ53" s="760">
        <f t="shared" si="208"/>
        <v>7.8361493593912213E+145</v>
      </c>
      <c r="PJA53" s="760">
        <f t="shared" si="208"/>
        <v>8.0712338401729586E+145</v>
      </c>
      <c r="PJB53" s="760">
        <f t="shared" si="208"/>
        <v>8.3133708553781471E+145</v>
      </c>
      <c r="PJC53" s="760">
        <f t="shared" ref="PJC53:PLN53" si="209">+PJB53*$C$53</f>
        <v>8.5627719810394917E+145</v>
      </c>
      <c r="PJD53" s="760">
        <f t="shared" si="209"/>
        <v>8.8196551404706766E+145</v>
      </c>
      <c r="PJE53" s="760">
        <f t="shared" si="209"/>
        <v>9.0842447946847973E+145</v>
      </c>
      <c r="PJF53" s="760">
        <f t="shared" si="209"/>
        <v>9.3567721385253416E+145</v>
      </c>
      <c r="PJG53" s="760">
        <f t="shared" si="209"/>
        <v>9.6374753026811019E+145</v>
      </c>
      <c r="PJH53" s="760">
        <f t="shared" si="209"/>
        <v>9.9265995617615355E+145</v>
      </c>
      <c r="PJI53" s="760">
        <f t="shared" si="209"/>
        <v>1.0224397548614382E+146</v>
      </c>
      <c r="PJJ53" s="760">
        <f t="shared" si="209"/>
        <v>1.0531129475072813E+146</v>
      </c>
      <c r="PJK53" s="760">
        <f t="shared" si="209"/>
        <v>1.0847063359324997E+146</v>
      </c>
      <c r="PJL53" s="760">
        <f t="shared" si="209"/>
        <v>1.1172475260104747E+146</v>
      </c>
      <c r="PJM53" s="760">
        <f t="shared" si="209"/>
        <v>1.150764951790789E+146</v>
      </c>
      <c r="PJN53" s="760">
        <f t="shared" si="209"/>
        <v>1.1852879003445126E+146</v>
      </c>
      <c r="PJO53" s="760">
        <f t="shared" si="209"/>
        <v>1.2208465373548481E+146</v>
      </c>
      <c r="PJP53" s="760">
        <f t="shared" si="209"/>
        <v>1.2574719334754936E+146</v>
      </c>
      <c r="PJQ53" s="760">
        <f t="shared" si="209"/>
        <v>1.2951960914797585E+146</v>
      </c>
      <c r="PJR53" s="760">
        <f t="shared" si="209"/>
        <v>1.3340519742241514E+146</v>
      </c>
      <c r="PJS53" s="760">
        <f t="shared" si="209"/>
        <v>1.3740735334508759E+146</v>
      </c>
      <c r="PJT53" s="760">
        <f t="shared" si="209"/>
        <v>1.4152957394544022E+146</v>
      </c>
      <c r="PJU53" s="760">
        <f t="shared" si="209"/>
        <v>1.4577546116380343E+146</v>
      </c>
      <c r="PJV53" s="760">
        <f t="shared" si="209"/>
        <v>1.5014872499871753E+146</v>
      </c>
      <c r="PJW53" s="760">
        <f t="shared" si="209"/>
        <v>1.5465318674867907E+146</v>
      </c>
      <c r="PJX53" s="760">
        <f t="shared" si="209"/>
        <v>1.5929278235113944E+146</v>
      </c>
      <c r="PJY53" s="760">
        <f t="shared" si="209"/>
        <v>1.6407156582167363E+146</v>
      </c>
      <c r="PJZ53" s="760">
        <f t="shared" si="209"/>
        <v>1.6899371279632384E+146</v>
      </c>
      <c r="PKA53" s="760">
        <f t="shared" si="209"/>
        <v>1.7406352418021357E+146</v>
      </c>
      <c r="PKB53" s="760">
        <f t="shared" si="209"/>
        <v>1.7928542990561998E+146</v>
      </c>
      <c r="PKC53" s="760">
        <f t="shared" si="209"/>
        <v>1.8466399280278858E+146</v>
      </c>
      <c r="PKD53" s="760">
        <f t="shared" si="209"/>
        <v>1.9020391258687224E+146</v>
      </c>
      <c r="PKE53" s="760">
        <f t="shared" si="209"/>
        <v>1.9591002996447842E+146</v>
      </c>
      <c r="PKF53" s="760">
        <f t="shared" si="209"/>
        <v>2.0178733086341279E+146</v>
      </c>
      <c r="PKG53" s="760">
        <f t="shared" si="209"/>
        <v>2.0784095078931519E+146</v>
      </c>
      <c r="PKH53" s="760">
        <f t="shared" si="209"/>
        <v>2.1407617931299463E+146</v>
      </c>
      <c r="PKI53" s="760">
        <f t="shared" si="209"/>
        <v>2.2049846469238447E+146</v>
      </c>
      <c r="PKJ53" s="760">
        <f t="shared" si="209"/>
        <v>2.2711341863315602E+146</v>
      </c>
      <c r="PKK53" s="760">
        <f t="shared" si="209"/>
        <v>2.3392682119215073E+146</v>
      </c>
      <c r="PKL53" s="760">
        <f t="shared" si="209"/>
        <v>2.4094462582791525E+146</v>
      </c>
      <c r="PKM53" s="760">
        <f t="shared" si="209"/>
        <v>2.4817296460275271E+146</v>
      </c>
      <c r="PKN53" s="760">
        <f t="shared" si="209"/>
        <v>2.5561815354083529E+146</v>
      </c>
      <c r="PKO53" s="760">
        <f t="shared" si="209"/>
        <v>2.6328669814706033E+146</v>
      </c>
      <c r="PKP53" s="760">
        <f t="shared" si="209"/>
        <v>2.7118529909147214E+146</v>
      </c>
      <c r="PKQ53" s="760">
        <f t="shared" si="209"/>
        <v>2.7932085806421631E+146</v>
      </c>
      <c r="PKR53" s="760">
        <f t="shared" si="209"/>
        <v>2.8770048380614281E+146</v>
      </c>
      <c r="PKS53" s="760">
        <f t="shared" si="209"/>
        <v>2.9633149832032711E+146</v>
      </c>
      <c r="PKT53" s="760">
        <f t="shared" si="209"/>
        <v>3.0522144326993693E+146</v>
      </c>
      <c r="PKU53" s="760">
        <f t="shared" si="209"/>
        <v>3.1437808656803504E+146</v>
      </c>
      <c r="PKV53" s="760">
        <f t="shared" si="209"/>
        <v>3.2380942916507609E+146</v>
      </c>
      <c r="PKW53" s="760">
        <f t="shared" si="209"/>
        <v>3.3352371204002837E+146</v>
      </c>
      <c r="PKX53" s="760">
        <f t="shared" si="209"/>
        <v>3.4352942340122921E+146</v>
      </c>
      <c r="PKY53" s="760">
        <f t="shared" si="209"/>
        <v>3.5383530610326609E+146</v>
      </c>
      <c r="PKZ53" s="760">
        <f t="shared" si="209"/>
        <v>3.6445036528636406E+146</v>
      </c>
      <c r="PLA53" s="760">
        <f t="shared" si="209"/>
        <v>3.7538387624495498E+146</v>
      </c>
      <c r="PLB53" s="760">
        <f t="shared" si="209"/>
        <v>3.8664539253230364E+146</v>
      </c>
      <c r="PLC53" s="760">
        <f t="shared" si="209"/>
        <v>3.9824475430827277E+146</v>
      </c>
      <c r="PLD53" s="760">
        <f t="shared" si="209"/>
        <v>4.1019209693752099E+146</v>
      </c>
      <c r="PLE53" s="760">
        <f t="shared" si="209"/>
        <v>4.2249785984564667E+146</v>
      </c>
      <c r="PLF53" s="760">
        <f t="shared" si="209"/>
        <v>4.3517279564101611E+146</v>
      </c>
      <c r="PLG53" s="760">
        <f t="shared" si="209"/>
        <v>4.4822797951024661E+146</v>
      </c>
      <c r="PLH53" s="760">
        <f t="shared" si="209"/>
        <v>4.6167481889555404E+146</v>
      </c>
      <c r="PLI53" s="760">
        <f t="shared" si="209"/>
        <v>4.7552506346242067E+146</v>
      </c>
      <c r="PLJ53" s="760">
        <f t="shared" si="209"/>
        <v>4.8979081536629333E+146</v>
      </c>
      <c r="PLK53" s="760">
        <f t="shared" si="209"/>
        <v>5.0448453982728211E+146</v>
      </c>
      <c r="PLL53" s="760">
        <f t="shared" si="209"/>
        <v>5.1961907602210055E+146</v>
      </c>
      <c r="PLM53" s="760">
        <f t="shared" si="209"/>
        <v>5.352076483027636E+146</v>
      </c>
      <c r="PLN53" s="760">
        <f t="shared" si="209"/>
        <v>5.5126387775184649E+146</v>
      </c>
      <c r="PLO53" s="760">
        <f t="shared" ref="PLO53:PNZ53" si="210">+PLN53*$C$53</f>
        <v>5.6780179408440194E+146</v>
      </c>
      <c r="PLP53" s="760">
        <f t="shared" si="210"/>
        <v>5.8483584790693398E+146</v>
      </c>
      <c r="PLQ53" s="760">
        <f t="shared" si="210"/>
        <v>6.0238092334414203E+146</v>
      </c>
      <c r="PLR53" s="760">
        <f t="shared" si="210"/>
        <v>6.2045235104446633E+146</v>
      </c>
      <c r="PLS53" s="760">
        <f t="shared" si="210"/>
        <v>6.390659215758003E+146</v>
      </c>
      <c r="PLT53" s="760">
        <f t="shared" si="210"/>
        <v>6.5823789922307436E+146</v>
      </c>
      <c r="PLU53" s="760">
        <f t="shared" si="210"/>
        <v>6.7798503619976659E+146</v>
      </c>
      <c r="PLV53" s="760">
        <f t="shared" si="210"/>
        <v>6.9832458728575959E+146</v>
      </c>
      <c r="PLW53" s="760">
        <f t="shared" si="210"/>
        <v>7.1927432490433241E+146</v>
      </c>
      <c r="PLX53" s="760">
        <f t="shared" si="210"/>
        <v>7.4085255465146237E+146</v>
      </c>
      <c r="PLY53" s="760">
        <f t="shared" si="210"/>
        <v>7.6307813129100625E+146</v>
      </c>
      <c r="PLZ53" s="760">
        <f t="shared" si="210"/>
        <v>7.8597047522973646E+146</v>
      </c>
      <c r="PMA53" s="760">
        <f t="shared" si="210"/>
        <v>8.0954958948662858E+146</v>
      </c>
      <c r="PMB53" s="760">
        <f t="shared" si="210"/>
        <v>8.3383607717122752E+146</v>
      </c>
      <c r="PMC53" s="760">
        <f t="shared" si="210"/>
        <v>8.5885115948636434E+146</v>
      </c>
      <c r="PMD53" s="760">
        <f t="shared" si="210"/>
        <v>8.846166942709553E+146</v>
      </c>
      <c r="PME53" s="760">
        <f t="shared" si="210"/>
        <v>9.11155195099084E+146</v>
      </c>
      <c r="PMF53" s="760">
        <f t="shared" si="210"/>
        <v>9.384898509520566E+146</v>
      </c>
      <c r="PMG53" s="760">
        <f t="shared" si="210"/>
        <v>9.666445464806184E+146</v>
      </c>
      <c r="PMH53" s="760">
        <f t="shared" si="210"/>
        <v>9.95643882875037E+146</v>
      </c>
      <c r="PMI53" s="760">
        <f t="shared" si="210"/>
        <v>1.0255131993612881E+147</v>
      </c>
      <c r="PMJ53" s="760">
        <f t="shared" si="210"/>
        <v>1.0562785953421267E+147</v>
      </c>
      <c r="PMK53" s="760">
        <f t="shared" si="210"/>
        <v>1.0879669532023905E+147</v>
      </c>
      <c r="PML53" s="760">
        <f t="shared" si="210"/>
        <v>1.1206059617984622E+147</v>
      </c>
      <c r="PMM53" s="760">
        <f t="shared" si="210"/>
        <v>1.1542241406524161E+147</v>
      </c>
      <c r="PMN53" s="760">
        <f t="shared" si="210"/>
        <v>1.1888508648719886E+147</v>
      </c>
      <c r="PMO53" s="760">
        <f t="shared" si="210"/>
        <v>1.2245163908181483E+147</v>
      </c>
      <c r="PMP53" s="760">
        <f t="shared" si="210"/>
        <v>1.2612518825426927E+147</v>
      </c>
      <c r="PMQ53" s="760">
        <f t="shared" si="210"/>
        <v>1.2990894390189736E+147</v>
      </c>
      <c r="PMR53" s="760">
        <f t="shared" si="210"/>
        <v>1.3380621221895429E+147</v>
      </c>
      <c r="PMS53" s="760">
        <f t="shared" si="210"/>
        <v>1.3782039858552292E+147</v>
      </c>
      <c r="PMT53" s="760">
        <f t="shared" si="210"/>
        <v>1.4195501054308862E+147</v>
      </c>
      <c r="PMU53" s="760">
        <f t="shared" si="210"/>
        <v>1.4621366085938128E+147</v>
      </c>
      <c r="PMV53" s="760">
        <f t="shared" si="210"/>
        <v>1.5060007068516272E+147</v>
      </c>
      <c r="PMW53" s="760">
        <f t="shared" si="210"/>
        <v>1.5511807280571762E+147</v>
      </c>
      <c r="PMX53" s="760">
        <f t="shared" si="210"/>
        <v>1.5977161498988915E+147</v>
      </c>
      <c r="PMY53" s="760">
        <f t="shared" si="210"/>
        <v>1.6456476343958583E+147</v>
      </c>
      <c r="PMZ53" s="760">
        <f t="shared" si="210"/>
        <v>1.695017063427734E+147</v>
      </c>
      <c r="PNA53" s="760">
        <f t="shared" si="210"/>
        <v>1.745867575330566E+147</v>
      </c>
      <c r="PNB53" s="760">
        <f t="shared" si="210"/>
        <v>1.798243602590483E+147</v>
      </c>
      <c r="PNC53" s="760">
        <f t="shared" si="210"/>
        <v>1.8521909106681976E+147</v>
      </c>
      <c r="PND53" s="760">
        <f t="shared" si="210"/>
        <v>1.9077566379882435E+147</v>
      </c>
      <c r="PNE53" s="760">
        <f t="shared" si="210"/>
        <v>1.964989337127891E+147</v>
      </c>
      <c r="PNF53" s="760">
        <f t="shared" si="210"/>
        <v>2.0239390172417276E+147</v>
      </c>
      <c r="PNG53" s="760">
        <f t="shared" si="210"/>
        <v>2.0846571877589794E+147</v>
      </c>
      <c r="PNH53" s="760">
        <f t="shared" si="210"/>
        <v>2.1471969033917487E+147</v>
      </c>
      <c r="PNI53" s="760">
        <f t="shared" si="210"/>
        <v>2.2116128104935013E+147</v>
      </c>
      <c r="PNJ53" s="760">
        <f t="shared" si="210"/>
        <v>2.2779611948083063E+147</v>
      </c>
      <c r="PNK53" s="760">
        <f t="shared" si="210"/>
        <v>2.3463000306525555E+147</v>
      </c>
      <c r="PNL53" s="760">
        <f t="shared" si="210"/>
        <v>2.4166890315721321E+147</v>
      </c>
      <c r="PNM53" s="760">
        <f t="shared" si="210"/>
        <v>2.489189702519296E+147</v>
      </c>
      <c r="PNN53" s="760">
        <f t="shared" si="210"/>
        <v>2.5638653935948748E+147</v>
      </c>
      <c r="PNO53" s="760">
        <f t="shared" si="210"/>
        <v>2.6407813554027212E+147</v>
      </c>
      <c r="PNP53" s="760">
        <f t="shared" si="210"/>
        <v>2.7200047960648031E+147</v>
      </c>
      <c r="PNQ53" s="760">
        <f t="shared" si="210"/>
        <v>2.8016049399467472E+147</v>
      </c>
      <c r="PNR53" s="760">
        <f t="shared" si="210"/>
        <v>2.8856530881451498E+147</v>
      </c>
      <c r="PNS53" s="760">
        <f t="shared" si="210"/>
        <v>2.9722226807895042E+147</v>
      </c>
      <c r="PNT53" s="760">
        <f t="shared" si="210"/>
        <v>3.0613893612131893E+147</v>
      </c>
      <c r="PNU53" s="760">
        <f t="shared" si="210"/>
        <v>3.1532310420495849E+147</v>
      </c>
      <c r="PNV53" s="760">
        <f t="shared" si="210"/>
        <v>3.2478279733110725E+147</v>
      </c>
      <c r="PNW53" s="760">
        <f t="shared" si="210"/>
        <v>3.3452628125104047E+147</v>
      </c>
      <c r="PNX53" s="760">
        <f t="shared" si="210"/>
        <v>3.4456206968857167E+147</v>
      </c>
      <c r="PNY53" s="760">
        <f t="shared" si="210"/>
        <v>3.5489893177922882E+147</v>
      </c>
      <c r="PNZ53" s="760">
        <f t="shared" si="210"/>
        <v>3.6554589973260568E+147</v>
      </c>
      <c r="POA53" s="760">
        <f t="shared" ref="POA53:PQL53" si="211">+PNZ53*$C$53</f>
        <v>3.7651227672458387E+147</v>
      </c>
      <c r="POB53" s="760">
        <f t="shared" si="211"/>
        <v>3.8780764502632139E+147</v>
      </c>
      <c r="POC53" s="760">
        <f t="shared" si="211"/>
        <v>3.9944187437711101E+147</v>
      </c>
      <c r="POD53" s="760">
        <f t="shared" si="211"/>
        <v>4.1142513060842435E+147</v>
      </c>
      <c r="POE53" s="760">
        <f t="shared" si="211"/>
        <v>4.2376788452667709E+147</v>
      </c>
      <c r="POF53" s="760">
        <f t="shared" si="211"/>
        <v>4.3648092106247741E+147</v>
      </c>
      <c r="POG53" s="760">
        <f t="shared" si="211"/>
        <v>4.4957534869435177E+147</v>
      </c>
      <c r="POH53" s="760">
        <f t="shared" si="211"/>
        <v>4.6306260915518233E+147</v>
      </c>
      <c r="POI53" s="760">
        <f t="shared" si="211"/>
        <v>4.7695448742983782E+147</v>
      </c>
      <c r="POJ53" s="760">
        <f t="shared" si="211"/>
        <v>4.9126312205273293E+147</v>
      </c>
      <c r="POK53" s="760">
        <f t="shared" si="211"/>
        <v>5.0600101571431493E+147</v>
      </c>
      <c r="POL53" s="760">
        <f t="shared" si="211"/>
        <v>5.2118104618574437E+147</v>
      </c>
      <c r="POM53" s="760">
        <f t="shared" si="211"/>
        <v>5.3681647757131674E+147</v>
      </c>
      <c r="PON53" s="760">
        <f t="shared" si="211"/>
        <v>5.5292097189845623E+147</v>
      </c>
      <c r="POO53" s="760">
        <f t="shared" si="211"/>
        <v>5.6950860105540996E+147</v>
      </c>
      <c r="POP53" s="760">
        <f t="shared" si="211"/>
        <v>5.8659385908707224E+147</v>
      </c>
      <c r="POQ53" s="760">
        <f t="shared" si="211"/>
        <v>6.0419167485968439E+147</v>
      </c>
      <c r="POR53" s="760">
        <f t="shared" si="211"/>
        <v>6.2231742510547493E+147</v>
      </c>
      <c r="POS53" s="760">
        <f t="shared" si="211"/>
        <v>6.4098694785863915E+147</v>
      </c>
      <c r="POT53" s="760">
        <f t="shared" si="211"/>
        <v>6.602165562943984E+147</v>
      </c>
      <c r="POU53" s="760">
        <f t="shared" si="211"/>
        <v>6.8002305298323042E+147</v>
      </c>
      <c r="POV53" s="760">
        <f t="shared" si="211"/>
        <v>7.0042374457272731E+147</v>
      </c>
      <c r="POW53" s="760">
        <f t="shared" si="211"/>
        <v>7.214364569099092E+147</v>
      </c>
      <c r="POX53" s="760">
        <f t="shared" si="211"/>
        <v>7.4307955061720653E+147</v>
      </c>
      <c r="POY53" s="760">
        <f t="shared" si="211"/>
        <v>7.6537193713572275E+147</v>
      </c>
      <c r="POZ53" s="760">
        <f t="shared" si="211"/>
        <v>7.8833309524979445E+147</v>
      </c>
      <c r="PPA53" s="760">
        <f t="shared" si="211"/>
        <v>8.1198308810728836E+147</v>
      </c>
      <c r="PPB53" s="760">
        <f t="shared" si="211"/>
        <v>8.3634258075050698E+147</v>
      </c>
      <c r="PPC53" s="760">
        <f t="shared" si="211"/>
        <v>8.6143285817302217E+147</v>
      </c>
      <c r="PPD53" s="760">
        <f t="shared" si="211"/>
        <v>8.8727584391821283E+147</v>
      </c>
      <c r="PPE53" s="760">
        <f t="shared" si="211"/>
        <v>9.1389411923575925E+147</v>
      </c>
      <c r="PPF53" s="760">
        <f t="shared" si="211"/>
        <v>9.4131094281283208E+147</v>
      </c>
      <c r="PPG53" s="760">
        <f t="shared" si="211"/>
        <v>9.6955027109721709E+147</v>
      </c>
      <c r="PPH53" s="760">
        <f t="shared" si="211"/>
        <v>9.9863677923013369E+147</v>
      </c>
      <c r="PPI53" s="760">
        <f t="shared" si="211"/>
        <v>1.0285958826070377E+148</v>
      </c>
      <c r="PPJ53" s="760">
        <f t="shared" si="211"/>
        <v>1.0594537590852488E+148</v>
      </c>
      <c r="PPK53" s="760">
        <f t="shared" si="211"/>
        <v>1.0912373718578062E+148</v>
      </c>
      <c r="PPL53" s="760">
        <f t="shared" si="211"/>
        <v>1.1239744930135404E+148</v>
      </c>
      <c r="PPM53" s="760">
        <f t="shared" si="211"/>
        <v>1.1576937278039467E+148</v>
      </c>
      <c r="PPN53" s="760">
        <f t="shared" si="211"/>
        <v>1.1924245396380651E+148</v>
      </c>
      <c r="PPO53" s="760">
        <f t="shared" si="211"/>
        <v>1.2281972758272071E+148</v>
      </c>
      <c r="PPP53" s="760">
        <f t="shared" si="211"/>
        <v>1.2650431941020233E+148</v>
      </c>
      <c r="PPQ53" s="760">
        <f t="shared" si="211"/>
        <v>1.3029944899250841E+148</v>
      </c>
      <c r="PPR53" s="760">
        <f t="shared" si="211"/>
        <v>1.3420843246228367E+148</v>
      </c>
      <c r="PPS53" s="760">
        <f t="shared" si="211"/>
        <v>1.3823468543615218E+148</v>
      </c>
      <c r="PPT53" s="760">
        <f t="shared" si="211"/>
        <v>1.4238172599923674E+148</v>
      </c>
      <c r="PPU53" s="760">
        <f t="shared" si="211"/>
        <v>1.4665317777921386E+148</v>
      </c>
      <c r="PPV53" s="760">
        <f t="shared" si="211"/>
        <v>1.5105277311259028E+148</v>
      </c>
      <c r="PPW53" s="760">
        <f t="shared" si="211"/>
        <v>1.5558435630596799E+148</v>
      </c>
      <c r="PPX53" s="760">
        <f t="shared" si="211"/>
        <v>1.6025188699514702E+148</v>
      </c>
      <c r="PPY53" s="760">
        <f t="shared" si="211"/>
        <v>1.6505944360500143E+148</v>
      </c>
      <c r="PPZ53" s="760">
        <f t="shared" si="211"/>
        <v>1.7001122691315149E+148</v>
      </c>
      <c r="PQA53" s="760">
        <f t="shared" si="211"/>
        <v>1.7511156372054603E+148</v>
      </c>
      <c r="PQB53" s="760">
        <f t="shared" si="211"/>
        <v>1.8036491063216241E+148</v>
      </c>
      <c r="PQC53" s="760">
        <f t="shared" si="211"/>
        <v>1.8577585795112729E+148</v>
      </c>
      <c r="PQD53" s="760">
        <f t="shared" si="211"/>
        <v>1.9134913368966111E+148</v>
      </c>
      <c r="PQE53" s="760">
        <f t="shared" si="211"/>
        <v>1.9708960770035094E+148</v>
      </c>
      <c r="PQF53" s="760">
        <f t="shared" si="211"/>
        <v>2.0300229593136149E+148</v>
      </c>
      <c r="PQG53" s="760">
        <f t="shared" si="211"/>
        <v>2.0909236480930234E+148</v>
      </c>
      <c r="PQH53" s="760">
        <f t="shared" si="211"/>
        <v>2.1536513575358141E+148</v>
      </c>
      <c r="PQI53" s="760">
        <f t="shared" si="211"/>
        <v>2.2182608982618885E+148</v>
      </c>
      <c r="PQJ53" s="760">
        <f t="shared" si="211"/>
        <v>2.2848087252097451E+148</v>
      </c>
      <c r="PQK53" s="760">
        <f t="shared" si="211"/>
        <v>2.3533529869660374E+148</v>
      </c>
      <c r="PQL53" s="760">
        <f t="shared" si="211"/>
        <v>2.4239535765750187E+148</v>
      </c>
      <c r="PQM53" s="760">
        <f t="shared" ref="PQM53:PSX53" si="212">+PQL53*$C$53</f>
        <v>2.4966721838722694E+148</v>
      </c>
      <c r="PQN53" s="760">
        <f t="shared" si="212"/>
        <v>2.5715723493884375E+148</v>
      </c>
      <c r="PQO53" s="760">
        <f t="shared" si="212"/>
        <v>2.6487195198700909E+148</v>
      </c>
      <c r="PQP53" s="760">
        <f t="shared" si="212"/>
        <v>2.7281811054661935E+148</v>
      </c>
      <c r="PQQ53" s="760">
        <f t="shared" si="212"/>
        <v>2.8100265386301795E+148</v>
      </c>
      <c r="PQR53" s="760">
        <f t="shared" si="212"/>
        <v>2.8943273347890851E+148</v>
      </c>
      <c r="PQS53" s="760">
        <f t="shared" si="212"/>
        <v>2.9811571548327579E+148</v>
      </c>
      <c r="PQT53" s="760">
        <f t="shared" si="212"/>
        <v>3.0705918694777408E+148</v>
      </c>
      <c r="PQU53" s="760">
        <f t="shared" si="212"/>
        <v>3.1627096255620731E+148</v>
      </c>
      <c r="PQV53" s="760">
        <f t="shared" si="212"/>
        <v>3.2575909143289351E+148</v>
      </c>
      <c r="PQW53" s="760">
        <f t="shared" si="212"/>
        <v>3.3553186417588035E+148</v>
      </c>
      <c r="PQX53" s="760">
        <f t="shared" si="212"/>
        <v>3.4559782010115678E+148</v>
      </c>
      <c r="PQY53" s="760">
        <f t="shared" si="212"/>
        <v>3.5596575470419147E+148</v>
      </c>
      <c r="PQZ53" s="760">
        <f t="shared" si="212"/>
        <v>3.6664472734531721E+148</v>
      </c>
      <c r="PRA53" s="760">
        <f t="shared" si="212"/>
        <v>3.7764406916567675E+148</v>
      </c>
      <c r="PRB53" s="760">
        <f t="shared" si="212"/>
        <v>3.8897339124064704E+148</v>
      </c>
      <c r="PRC53" s="760">
        <f t="shared" si="212"/>
        <v>4.0064259297786647E+148</v>
      </c>
      <c r="PRD53" s="760">
        <f t="shared" si="212"/>
        <v>4.1266187076720249E+148</v>
      </c>
      <c r="PRE53" s="760">
        <f t="shared" si="212"/>
        <v>4.2504172689021857E+148</v>
      </c>
      <c r="PRF53" s="760">
        <f t="shared" si="212"/>
        <v>4.3779297869692512E+148</v>
      </c>
      <c r="PRG53" s="760">
        <f t="shared" si="212"/>
        <v>4.5092676805783287E+148</v>
      </c>
      <c r="PRH53" s="760">
        <f t="shared" si="212"/>
        <v>4.6445457109956786E+148</v>
      </c>
      <c r="PRI53" s="760">
        <f t="shared" si="212"/>
        <v>4.7838820823255489E+148</v>
      </c>
      <c r="PRJ53" s="760">
        <f t="shared" si="212"/>
        <v>4.9273985447953153E+148</v>
      </c>
      <c r="PRK53" s="760">
        <f t="shared" si="212"/>
        <v>5.0752205011391749E+148</v>
      </c>
      <c r="PRL53" s="760">
        <f t="shared" si="212"/>
        <v>5.2274771161733505E+148</v>
      </c>
      <c r="PRM53" s="760">
        <f t="shared" si="212"/>
        <v>5.3843014296585514E+148</v>
      </c>
      <c r="PRN53" s="760">
        <f t="shared" si="212"/>
        <v>5.5458304725483075E+148</v>
      </c>
      <c r="PRO53" s="760">
        <f t="shared" si="212"/>
        <v>5.7122053867247574E+148</v>
      </c>
      <c r="PRP53" s="760">
        <f t="shared" si="212"/>
        <v>5.8835715483265005E+148</v>
      </c>
      <c r="PRQ53" s="760">
        <f t="shared" si="212"/>
        <v>6.0600786947762951E+148</v>
      </c>
      <c r="PRR53" s="760">
        <f t="shared" si="212"/>
        <v>6.2418810556195839E+148</v>
      </c>
      <c r="PRS53" s="760">
        <f t="shared" si="212"/>
        <v>6.4291374872881721E+148</v>
      </c>
      <c r="PRT53" s="760">
        <f t="shared" si="212"/>
        <v>6.6220116119068179E+148</v>
      </c>
      <c r="PRU53" s="760">
        <f t="shared" si="212"/>
        <v>6.8206719602640221E+148</v>
      </c>
      <c r="PRV53" s="760">
        <f t="shared" si="212"/>
        <v>7.025292119071943E+148</v>
      </c>
      <c r="PRW53" s="760">
        <f t="shared" si="212"/>
        <v>7.2360508826441019E+148</v>
      </c>
      <c r="PRX53" s="760">
        <f t="shared" si="212"/>
        <v>7.4531324091234253E+148</v>
      </c>
      <c r="PRY53" s="760">
        <f t="shared" si="212"/>
        <v>7.6767263813971286E+148</v>
      </c>
      <c r="PRZ53" s="760">
        <f t="shared" si="212"/>
        <v>7.9070281728390422E+148</v>
      </c>
      <c r="PSA53" s="760">
        <f t="shared" si="212"/>
        <v>8.1442390180242133E+148</v>
      </c>
      <c r="PSB53" s="760">
        <f t="shared" si="212"/>
        <v>8.3885661885649395E+148</v>
      </c>
      <c r="PSC53" s="760">
        <f t="shared" si="212"/>
        <v>8.6402231742218882E+148</v>
      </c>
      <c r="PSD53" s="760">
        <f t="shared" si="212"/>
        <v>8.8994298694485454E+148</v>
      </c>
      <c r="PSE53" s="760">
        <f t="shared" si="212"/>
        <v>9.1664127655320018E+148</v>
      </c>
      <c r="PSF53" s="760">
        <f t="shared" si="212"/>
        <v>9.441405148497962E+148</v>
      </c>
      <c r="PSG53" s="760">
        <f t="shared" si="212"/>
        <v>9.7246473029529014E+148</v>
      </c>
      <c r="PSH53" s="760">
        <f t="shared" si="212"/>
        <v>1.0016386722041489E+149</v>
      </c>
      <c r="PSI53" s="760">
        <f t="shared" si="212"/>
        <v>1.0316878323702733E+149</v>
      </c>
      <c r="PSJ53" s="760">
        <f t="shared" si="212"/>
        <v>1.0626384673413814E+149</v>
      </c>
      <c r="PSK53" s="760">
        <f t="shared" si="212"/>
        <v>1.094517621361623E+149</v>
      </c>
      <c r="PSL53" s="760">
        <f t="shared" si="212"/>
        <v>1.1273531500024716E+149</v>
      </c>
      <c r="PSM53" s="760">
        <f t="shared" si="212"/>
        <v>1.1611737445025459E+149</v>
      </c>
      <c r="PSN53" s="760">
        <f t="shared" si="212"/>
        <v>1.1960089568376223E+149</v>
      </c>
      <c r="PSO53" s="760">
        <f t="shared" si="212"/>
        <v>1.231889225542751E+149</v>
      </c>
      <c r="PSP53" s="760">
        <f t="shared" si="212"/>
        <v>1.2688459023090335E+149</v>
      </c>
      <c r="PSQ53" s="760">
        <f t="shared" si="212"/>
        <v>1.3069112793783045E+149</v>
      </c>
      <c r="PSR53" s="760">
        <f t="shared" si="212"/>
        <v>1.3461186177596536E+149</v>
      </c>
      <c r="PSS53" s="760">
        <f t="shared" si="212"/>
        <v>1.3865021762924432E+149</v>
      </c>
      <c r="PST53" s="760">
        <f t="shared" si="212"/>
        <v>1.4280972415812166E+149</v>
      </c>
      <c r="PSU53" s="760">
        <f t="shared" si="212"/>
        <v>1.4709401588286532E+149</v>
      </c>
      <c r="PSV53" s="760">
        <f t="shared" si="212"/>
        <v>1.5150683635935128E+149</v>
      </c>
      <c r="PSW53" s="760">
        <f t="shared" si="212"/>
        <v>1.5605204145013182E+149</v>
      </c>
      <c r="PSX53" s="760">
        <f t="shared" si="212"/>
        <v>1.6073360269363578E+149</v>
      </c>
      <c r="PSY53" s="760">
        <f t="shared" ref="PSY53:PVJ53" si="213">+PSX53*$C$53</f>
        <v>1.6555561077444487E+149</v>
      </c>
      <c r="PSZ53" s="760">
        <f t="shared" si="213"/>
        <v>1.7052227909767822E+149</v>
      </c>
      <c r="PTA53" s="760">
        <f t="shared" si="213"/>
        <v>1.7563794747060858E+149</v>
      </c>
      <c r="PTB53" s="760">
        <f t="shared" si="213"/>
        <v>1.8090708589472685E+149</v>
      </c>
      <c r="PTC53" s="760">
        <f t="shared" si="213"/>
        <v>1.8633429847156867E+149</v>
      </c>
      <c r="PTD53" s="760">
        <f t="shared" si="213"/>
        <v>1.9192432742571573E+149</v>
      </c>
      <c r="PTE53" s="760">
        <f t="shared" si="213"/>
        <v>1.976820572484872E+149</v>
      </c>
      <c r="PTF53" s="760">
        <f t="shared" si="213"/>
        <v>2.0361251896594182E+149</v>
      </c>
      <c r="PTG53" s="760">
        <f t="shared" si="213"/>
        <v>2.0972089453492009E+149</v>
      </c>
      <c r="PTH53" s="760">
        <f t="shared" si="213"/>
        <v>2.1601252137096769E+149</v>
      </c>
      <c r="PTI53" s="760">
        <f t="shared" si="213"/>
        <v>2.2249289701209671E+149</v>
      </c>
      <c r="PTJ53" s="760">
        <f t="shared" si="213"/>
        <v>2.2916768392245961E+149</v>
      </c>
      <c r="PTK53" s="760">
        <f t="shared" si="213"/>
        <v>2.360427144401334E+149</v>
      </c>
      <c r="PTL53" s="760">
        <f t="shared" si="213"/>
        <v>2.4312399587333742E+149</v>
      </c>
      <c r="PTM53" s="760">
        <f t="shared" si="213"/>
        <v>2.5041771574953753E+149</v>
      </c>
      <c r="PTN53" s="760">
        <f t="shared" si="213"/>
        <v>2.5793024722202368E+149</v>
      </c>
      <c r="PTO53" s="760">
        <f t="shared" si="213"/>
        <v>2.6566815463868441E+149</v>
      </c>
      <c r="PTP53" s="760">
        <f t="shared" si="213"/>
        <v>2.7363819927784493E+149</v>
      </c>
      <c r="PTQ53" s="760">
        <f t="shared" si="213"/>
        <v>2.8184734525618027E+149</v>
      </c>
      <c r="PTR53" s="760">
        <f t="shared" si="213"/>
        <v>2.9030276561386567E+149</v>
      </c>
      <c r="PTS53" s="760">
        <f t="shared" si="213"/>
        <v>2.9901184858228167E+149</v>
      </c>
      <c r="PTT53" s="760">
        <f t="shared" si="213"/>
        <v>3.0798220403975012E+149</v>
      </c>
      <c r="PTU53" s="760">
        <f t="shared" si="213"/>
        <v>3.1722167016094264E+149</v>
      </c>
      <c r="PTV53" s="760">
        <f t="shared" si="213"/>
        <v>3.2673832026577091E+149</v>
      </c>
      <c r="PTW53" s="760">
        <f t="shared" si="213"/>
        <v>3.3654046987374404E+149</v>
      </c>
      <c r="PTX53" s="760">
        <f t="shared" si="213"/>
        <v>3.4663668396995637E+149</v>
      </c>
      <c r="PTY53" s="760">
        <f t="shared" si="213"/>
        <v>3.5703578448905508E+149</v>
      </c>
      <c r="PTZ53" s="760">
        <f t="shared" si="213"/>
        <v>3.6774685802372674E+149</v>
      </c>
      <c r="PUA53" s="760">
        <f t="shared" si="213"/>
        <v>3.7877926376443855E+149</v>
      </c>
      <c r="PUB53" s="760">
        <f t="shared" si="213"/>
        <v>3.9014264167737174E+149</v>
      </c>
      <c r="PUC53" s="760">
        <f t="shared" si="213"/>
        <v>4.018469209276929E+149</v>
      </c>
      <c r="PUD53" s="760">
        <f t="shared" si="213"/>
        <v>4.1390232855552365E+149</v>
      </c>
      <c r="PUE53" s="760">
        <f t="shared" si="213"/>
        <v>4.2631939841218942E+149</v>
      </c>
      <c r="PUF53" s="760">
        <f t="shared" si="213"/>
        <v>4.3910898036455511E+149</v>
      </c>
      <c r="PUG53" s="760">
        <f t="shared" si="213"/>
        <v>4.5228224977549173E+149</v>
      </c>
      <c r="PUH53" s="760">
        <f t="shared" si="213"/>
        <v>4.6585071726875651E+149</v>
      </c>
      <c r="PUI53" s="760">
        <f t="shared" si="213"/>
        <v>4.798262387868192E+149</v>
      </c>
      <c r="PUJ53" s="760">
        <f t="shared" si="213"/>
        <v>4.9422102595042377E+149</v>
      </c>
      <c r="PUK53" s="760">
        <f t="shared" si="213"/>
        <v>5.0904765672893646E+149</v>
      </c>
      <c r="PUL53" s="760">
        <f t="shared" si="213"/>
        <v>5.2431908643080457E+149</v>
      </c>
      <c r="PUM53" s="760">
        <f t="shared" si="213"/>
        <v>5.4004865902372875E+149</v>
      </c>
      <c r="PUN53" s="760">
        <f t="shared" si="213"/>
        <v>5.562501187944406E+149</v>
      </c>
      <c r="PUO53" s="760">
        <f t="shared" si="213"/>
        <v>5.7293762235827385E+149</v>
      </c>
      <c r="PUP53" s="760">
        <f t="shared" si="213"/>
        <v>5.9012575102902206E+149</v>
      </c>
      <c r="PUQ53" s="760">
        <f t="shared" si="213"/>
        <v>6.0782952355989273E+149</v>
      </c>
      <c r="PUR53" s="760">
        <f t="shared" si="213"/>
        <v>6.2606440926668954E+149</v>
      </c>
      <c r="PUS53" s="760">
        <f t="shared" si="213"/>
        <v>6.448463415446902E+149</v>
      </c>
      <c r="PUT53" s="760">
        <f t="shared" si="213"/>
        <v>6.641917317910309E+149</v>
      </c>
      <c r="PUU53" s="760">
        <f t="shared" si="213"/>
        <v>6.8411748374476181E+149</v>
      </c>
      <c r="PUV53" s="760">
        <f t="shared" si="213"/>
        <v>7.0464100825710466E+149</v>
      </c>
      <c r="PUW53" s="760">
        <f t="shared" si="213"/>
        <v>7.2578023850481781E+149</v>
      </c>
      <c r="PUX53" s="760">
        <f t="shared" si="213"/>
        <v>7.4755364565996237E+149</v>
      </c>
      <c r="PUY53" s="760">
        <f t="shared" si="213"/>
        <v>7.6998025502976123E+149</v>
      </c>
      <c r="PUZ53" s="760">
        <f t="shared" si="213"/>
        <v>7.9307966268065406E+149</v>
      </c>
      <c r="PVA53" s="760">
        <f t="shared" si="213"/>
        <v>8.1687205256107373E+149</v>
      </c>
      <c r="PVB53" s="760">
        <f t="shared" si="213"/>
        <v>8.4137821413790599E+149</v>
      </c>
      <c r="PVC53" s="760">
        <f t="shared" si="213"/>
        <v>8.6661956056204329E+149</v>
      </c>
      <c r="PVD53" s="760">
        <f t="shared" si="213"/>
        <v>8.9261814737890459E+149</v>
      </c>
      <c r="PVE53" s="760">
        <f t="shared" si="213"/>
        <v>9.1939669180027181E+149</v>
      </c>
      <c r="PVF53" s="760">
        <f t="shared" si="213"/>
        <v>9.4697859255427998E+149</v>
      </c>
      <c r="PVG53" s="760">
        <f t="shared" si="213"/>
        <v>9.7538795033090832E+149</v>
      </c>
      <c r="PVH53" s="760">
        <f t="shared" si="213"/>
        <v>1.0046495888408356E+150</v>
      </c>
      <c r="PVI53" s="760">
        <f t="shared" si="213"/>
        <v>1.0347890765060606E+150</v>
      </c>
      <c r="PVJ53" s="760">
        <f t="shared" si="213"/>
        <v>1.0658327488012425E+150</v>
      </c>
      <c r="PVK53" s="760">
        <f t="shared" ref="PVK53:PXV53" si="214">+PVJ53*$C$53</f>
        <v>1.0978077312652798E+150</v>
      </c>
      <c r="PVL53" s="760">
        <f t="shared" si="214"/>
        <v>1.1307419632032382E+150</v>
      </c>
      <c r="PVM53" s="760">
        <f t="shared" si="214"/>
        <v>1.1646642220993354E+150</v>
      </c>
      <c r="PVN53" s="760">
        <f t="shared" si="214"/>
        <v>1.1996041487623154E+150</v>
      </c>
      <c r="PVO53" s="760">
        <f t="shared" si="214"/>
        <v>1.2355922732251849E+150</v>
      </c>
      <c r="PVP53" s="760">
        <f t="shared" si="214"/>
        <v>1.2726600414219404E+150</v>
      </c>
      <c r="PVQ53" s="760">
        <f t="shared" si="214"/>
        <v>1.3108398426645987E+150</v>
      </c>
      <c r="PVR53" s="760">
        <f t="shared" si="214"/>
        <v>1.3501650379445367E+150</v>
      </c>
      <c r="PVS53" s="760">
        <f t="shared" si="214"/>
        <v>1.3906699890828728E+150</v>
      </c>
      <c r="PVT53" s="760">
        <f t="shared" si="214"/>
        <v>1.4323900887553589E+150</v>
      </c>
      <c r="PVU53" s="760">
        <f t="shared" si="214"/>
        <v>1.4753617914180197E+150</v>
      </c>
      <c r="PVV53" s="760">
        <f t="shared" si="214"/>
        <v>1.5196226451605604E+150</v>
      </c>
      <c r="PVW53" s="760">
        <f t="shared" si="214"/>
        <v>1.5652113245153773E+150</v>
      </c>
      <c r="PVX53" s="760">
        <f t="shared" si="214"/>
        <v>1.6121676642508387E+150</v>
      </c>
      <c r="PVY53" s="760">
        <f t="shared" si="214"/>
        <v>1.660532694178364E+150</v>
      </c>
      <c r="PVZ53" s="760">
        <f t="shared" si="214"/>
        <v>1.710348675003715E+150</v>
      </c>
      <c r="PWA53" s="760">
        <f t="shared" si="214"/>
        <v>1.7616591352538265E+150</v>
      </c>
      <c r="PWB53" s="760">
        <f t="shared" si="214"/>
        <v>1.8145089093114414E+150</v>
      </c>
      <c r="PWC53" s="760">
        <f t="shared" si="214"/>
        <v>1.8689441765907848E+150</v>
      </c>
      <c r="PWD53" s="760">
        <f t="shared" si="214"/>
        <v>1.9250125018885084E+150</v>
      </c>
      <c r="PWE53" s="760">
        <f t="shared" si="214"/>
        <v>1.9827628769451636E+150</v>
      </c>
      <c r="PWF53" s="760">
        <f t="shared" si="214"/>
        <v>2.0422457632535185E+150</v>
      </c>
      <c r="PWG53" s="760">
        <f t="shared" si="214"/>
        <v>2.1035131361511243E+150</v>
      </c>
      <c r="PWH53" s="760">
        <f t="shared" si="214"/>
        <v>2.1666185302356579E+150</v>
      </c>
      <c r="PWI53" s="760">
        <f t="shared" si="214"/>
        <v>2.2316170861427277E+150</v>
      </c>
      <c r="PWJ53" s="760">
        <f t="shared" si="214"/>
        <v>2.2985655987270096E+150</v>
      </c>
      <c r="PWK53" s="760">
        <f t="shared" si="214"/>
        <v>2.3675225666888201E+150</v>
      </c>
      <c r="PWL53" s="760">
        <f t="shared" si="214"/>
        <v>2.4385482436894848E+150</v>
      </c>
      <c r="PWM53" s="760">
        <f t="shared" si="214"/>
        <v>2.5117046910001695E+150</v>
      </c>
      <c r="PWN53" s="760">
        <f t="shared" si="214"/>
        <v>2.5870558317301747E+150</v>
      </c>
      <c r="PWO53" s="760">
        <f t="shared" si="214"/>
        <v>2.6646675066820802E+150</v>
      </c>
      <c r="PWP53" s="760">
        <f t="shared" si="214"/>
        <v>2.7446075318825426E+150</v>
      </c>
      <c r="PWQ53" s="760">
        <f t="shared" si="214"/>
        <v>2.826945757839019E+150</v>
      </c>
      <c r="PWR53" s="760">
        <f t="shared" si="214"/>
        <v>2.9117541305741898E+150</v>
      </c>
      <c r="PWS53" s="760">
        <f t="shared" si="214"/>
        <v>2.9991067544914155E+150</v>
      </c>
      <c r="PWT53" s="760">
        <f t="shared" si="214"/>
        <v>3.0890799571261578E+150</v>
      </c>
      <c r="PWU53" s="760">
        <f t="shared" si="214"/>
        <v>3.1817523558399427E+150</v>
      </c>
      <c r="PWV53" s="760">
        <f t="shared" si="214"/>
        <v>3.2772049265151409E+150</v>
      </c>
      <c r="PWW53" s="760">
        <f t="shared" si="214"/>
        <v>3.3755210743105949E+150</v>
      </c>
      <c r="PWX53" s="760">
        <f t="shared" si="214"/>
        <v>3.4767867065399128E+150</v>
      </c>
      <c r="PWY53" s="760">
        <f t="shared" si="214"/>
        <v>3.5810903077361102E+150</v>
      </c>
      <c r="PWZ53" s="760">
        <f t="shared" si="214"/>
        <v>3.6885230169681938E+150</v>
      </c>
      <c r="PXA53" s="760">
        <f t="shared" si="214"/>
        <v>3.7991787074772393E+150</v>
      </c>
      <c r="PXB53" s="760">
        <f t="shared" si="214"/>
        <v>3.9131540687015568E+150</v>
      </c>
      <c r="PXC53" s="760">
        <f t="shared" si="214"/>
        <v>4.0305486907626039E+150</v>
      </c>
      <c r="PXD53" s="760">
        <f t="shared" si="214"/>
        <v>4.151465151485482E+150</v>
      </c>
      <c r="PXE53" s="760">
        <f t="shared" si="214"/>
        <v>4.2760091060300464E+150</v>
      </c>
      <c r="PXF53" s="760">
        <f t="shared" si="214"/>
        <v>4.4042893792109475E+150</v>
      </c>
      <c r="PXG53" s="760">
        <f t="shared" si="214"/>
        <v>4.5364180605872762E+150</v>
      </c>
      <c r="PXH53" s="760">
        <f t="shared" si="214"/>
        <v>4.6725106024048946E+150</v>
      </c>
      <c r="PXI53" s="760">
        <f t="shared" si="214"/>
        <v>4.8126859204770418E+150</v>
      </c>
      <c r="PXJ53" s="760">
        <f t="shared" si="214"/>
        <v>4.9570664980913533E+150</v>
      </c>
      <c r="PXK53" s="760">
        <f t="shared" si="214"/>
        <v>5.1057784930340943E+150</v>
      </c>
      <c r="PXL53" s="760">
        <f t="shared" si="214"/>
        <v>5.2589518478251171E+150</v>
      </c>
      <c r="PXM53" s="760">
        <f t="shared" si="214"/>
        <v>5.4167204032598704E+150</v>
      </c>
      <c r="PXN53" s="760">
        <f t="shared" si="214"/>
        <v>5.5792220153576666E+150</v>
      </c>
      <c r="PXO53" s="760">
        <f t="shared" si="214"/>
        <v>5.7465986758183964E+150</v>
      </c>
      <c r="PXP53" s="760">
        <f t="shared" si="214"/>
        <v>5.9189966360929485E+150</v>
      </c>
      <c r="PXQ53" s="760">
        <f t="shared" si="214"/>
        <v>6.0965665351757368E+150</v>
      </c>
      <c r="PXR53" s="760">
        <f t="shared" si="214"/>
        <v>6.2794635312310094E+150</v>
      </c>
      <c r="PXS53" s="760">
        <f t="shared" si="214"/>
        <v>6.46784743716794E+150</v>
      </c>
      <c r="PXT53" s="760">
        <f t="shared" si="214"/>
        <v>6.661882860282979E+150</v>
      </c>
      <c r="PXU53" s="760">
        <f t="shared" si="214"/>
        <v>6.861739346091469E+150</v>
      </c>
      <c r="PXV53" s="760">
        <f t="shared" si="214"/>
        <v>7.0675915264742132E+150</v>
      </c>
      <c r="PXW53" s="760">
        <f t="shared" ref="PXW53:QAH53" si="215">+PXV53*$C$53</f>
        <v>7.2796192722684399E+150</v>
      </c>
      <c r="PXX53" s="760">
        <f t="shared" si="215"/>
        <v>7.4980078504364932E+150</v>
      </c>
      <c r="PXY53" s="760">
        <f t="shared" si="215"/>
        <v>7.7229480859495883E+150</v>
      </c>
      <c r="PXZ53" s="760">
        <f t="shared" si="215"/>
        <v>7.9546365285280759E+150</v>
      </c>
      <c r="PYA53" s="760">
        <f t="shared" si="215"/>
        <v>8.1932756243839185E+150</v>
      </c>
      <c r="PYB53" s="760">
        <f t="shared" si="215"/>
        <v>8.4390738931154369E+150</v>
      </c>
      <c r="PYC53" s="760">
        <f t="shared" si="215"/>
        <v>8.6922461099089001E+150</v>
      </c>
      <c r="PYD53" s="760">
        <f t="shared" si="215"/>
        <v>8.9530134932061669E+150</v>
      </c>
      <c r="PYE53" s="760">
        <f t="shared" si="215"/>
        <v>9.2216038980023528E+150</v>
      </c>
      <c r="PYF53" s="760">
        <f t="shared" si="215"/>
        <v>9.4982520149424235E+150</v>
      </c>
      <c r="PYG53" s="760">
        <f t="shared" si="215"/>
        <v>9.7831995753906963E+150</v>
      </c>
      <c r="PYH53" s="760">
        <f t="shared" si="215"/>
        <v>1.0076695562652418E+151</v>
      </c>
      <c r="PYI53" s="760">
        <f t="shared" si="215"/>
        <v>1.037899642953199E+151</v>
      </c>
      <c r="PYJ53" s="760">
        <f t="shared" si="215"/>
        <v>1.0690366322417951E+151</v>
      </c>
      <c r="PYK53" s="760">
        <f t="shared" si="215"/>
        <v>1.1011077312090489E+151</v>
      </c>
      <c r="PYL53" s="760">
        <f t="shared" si="215"/>
        <v>1.1341409631453204E+151</v>
      </c>
      <c r="PYM53" s="760">
        <f t="shared" si="215"/>
        <v>1.1681651920396801E+151</v>
      </c>
      <c r="PYN53" s="760">
        <f t="shared" si="215"/>
        <v>1.2032101478008705E+151</v>
      </c>
      <c r="PYO53" s="760">
        <f t="shared" si="215"/>
        <v>1.2393064522348967E+151</v>
      </c>
      <c r="PYP53" s="760">
        <f t="shared" si="215"/>
        <v>1.2764856458019436E+151</v>
      </c>
      <c r="PYQ53" s="760">
        <f t="shared" si="215"/>
        <v>1.3147802151760019E+151</v>
      </c>
      <c r="PYR53" s="760">
        <f t="shared" si="215"/>
        <v>1.3542236216312821E+151</v>
      </c>
      <c r="PYS53" s="760">
        <f t="shared" si="215"/>
        <v>1.3948503302802206E+151</v>
      </c>
      <c r="PYT53" s="760">
        <f t="shared" si="215"/>
        <v>1.4366958401886272E+151</v>
      </c>
      <c r="PYU53" s="760">
        <f t="shared" si="215"/>
        <v>1.479796715394286E+151</v>
      </c>
      <c r="PYV53" s="760">
        <f t="shared" si="215"/>
        <v>1.5241906168561146E+151</v>
      </c>
      <c r="PYW53" s="760">
        <f t="shared" si="215"/>
        <v>1.5699163353617981E+151</v>
      </c>
      <c r="PYX53" s="760">
        <f t="shared" si="215"/>
        <v>1.6170138254226521E+151</v>
      </c>
      <c r="PYY53" s="760">
        <f t="shared" si="215"/>
        <v>1.6655242401853317E+151</v>
      </c>
      <c r="PYZ53" s="760">
        <f t="shared" si="215"/>
        <v>1.7154899673908918E+151</v>
      </c>
      <c r="PZA53" s="760">
        <f t="shared" si="215"/>
        <v>1.7669546664126186E+151</v>
      </c>
      <c r="PZB53" s="760">
        <f t="shared" si="215"/>
        <v>1.8199633064049972E+151</v>
      </c>
      <c r="PZC53" s="760">
        <f t="shared" si="215"/>
        <v>1.8745622055971472E+151</v>
      </c>
      <c r="PZD53" s="760">
        <f t="shared" si="215"/>
        <v>1.9307990717650617E+151</v>
      </c>
      <c r="PZE53" s="760">
        <f t="shared" si="215"/>
        <v>1.9887230439180136E+151</v>
      </c>
      <c r="PZF53" s="760">
        <f t="shared" si="215"/>
        <v>2.0483847352355542E+151</v>
      </c>
      <c r="PZG53" s="760">
        <f t="shared" si="215"/>
        <v>2.1098362772926208E+151</v>
      </c>
      <c r="PZH53" s="760">
        <f t="shared" si="215"/>
        <v>2.1731313656113996E+151</v>
      </c>
      <c r="PZI53" s="760">
        <f t="shared" si="215"/>
        <v>2.2383253065797415E+151</v>
      </c>
      <c r="PZJ53" s="760">
        <f t="shared" si="215"/>
        <v>2.3054750657771337E+151</v>
      </c>
      <c r="PZK53" s="760">
        <f t="shared" si="215"/>
        <v>2.3746393177504479E+151</v>
      </c>
      <c r="PZL53" s="760">
        <f t="shared" si="215"/>
        <v>2.4458784972829614E+151</v>
      </c>
      <c r="PZM53" s="760">
        <f t="shared" si="215"/>
        <v>2.5192548522014503E+151</v>
      </c>
      <c r="PZN53" s="760">
        <f t="shared" si="215"/>
        <v>2.594832497767494E+151</v>
      </c>
      <c r="PZO53" s="760">
        <f t="shared" si="215"/>
        <v>2.6726774727005188E+151</v>
      </c>
      <c r="PZP53" s="760">
        <f t="shared" si="215"/>
        <v>2.7528577968815345E+151</v>
      </c>
      <c r="PZQ53" s="760">
        <f t="shared" si="215"/>
        <v>2.8354435307879806E+151</v>
      </c>
      <c r="PZR53" s="760">
        <f t="shared" si="215"/>
        <v>2.9205068367116199E+151</v>
      </c>
      <c r="PZS53" s="760">
        <f t="shared" si="215"/>
        <v>3.0081220418129687E+151</v>
      </c>
      <c r="PZT53" s="760">
        <f t="shared" si="215"/>
        <v>3.0983657030673578E+151</v>
      </c>
      <c r="PZU53" s="760">
        <f t="shared" si="215"/>
        <v>3.1913166741593786E+151</v>
      </c>
      <c r="PZV53" s="760">
        <f t="shared" si="215"/>
        <v>3.28705617438416E+151</v>
      </c>
      <c r="PZW53" s="760">
        <f t="shared" si="215"/>
        <v>3.3856678596156851E+151</v>
      </c>
      <c r="PZX53" s="760">
        <f t="shared" si="215"/>
        <v>3.4872378954041559E+151</v>
      </c>
      <c r="PZY53" s="760">
        <f t="shared" si="215"/>
        <v>3.5918550322662807E+151</v>
      </c>
      <c r="PZZ53" s="760">
        <f t="shared" si="215"/>
        <v>3.6996106832342691E+151</v>
      </c>
      <c r="QAA53" s="760">
        <f t="shared" si="215"/>
        <v>3.8105990037312973E+151</v>
      </c>
      <c r="QAB53" s="760">
        <f t="shared" si="215"/>
        <v>3.9249169738432361E+151</v>
      </c>
      <c r="QAC53" s="760">
        <f t="shared" si="215"/>
        <v>4.0426644830585333E+151</v>
      </c>
      <c r="QAD53" s="760">
        <f t="shared" si="215"/>
        <v>4.1639444175502892E+151</v>
      </c>
      <c r="QAE53" s="760">
        <f t="shared" si="215"/>
        <v>4.2888627500767978E+151</v>
      </c>
      <c r="QAF53" s="760">
        <f t="shared" si="215"/>
        <v>4.4175286325791017E+151</v>
      </c>
      <c r="QAG53" s="760">
        <f t="shared" si="215"/>
        <v>4.5500544915564752E+151</v>
      </c>
      <c r="QAH53" s="760">
        <f t="shared" si="215"/>
        <v>4.6865561263031696E+151</v>
      </c>
      <c r="QAI53" s="760">
        <f t="shared" ref="QAI53:QCT53" si="216">+QAH53*$C$53</f>
        <v>4.8271528100922651E+151</v>
      </c>
      <c r="QAJ53" s="760">
        <f t="shared" si="216"/>
        <v>4.971967394395033E+151</v>
      </c>
      <c r="QAK53" s="760">
        <f t="shared" si="216"/>
        <v>5.1211264162268839E+151</v>
      </c>
      <c r="QAL53" s="760">
        <f t="shared" si="216"/>
        <v>5.2747602087136901E+151</v>
      </c>
      <c r="QAM53" s="760">
        <f t="shared" si="216"/>
        <v>5.4330030149751008E+151</v>
      </c>
      <c r="QAN53" s="760">
        <f t="shared" si="216"/>
        <v>5.5959931054243536E+151</v>
      </c>
      <c r="QAO53" s="760">
        <f t="shared" si="216"/>
        <v>5.7638728985870839E+151</v>
      </c>
      <c r="QAP53" s="760">
        <f t="shared" si="216"/>
        <v>5.9367890855446964E+151</v>
      </c>
      <c r="QAQ53" s="760">
        <f t="shared" si="216"/>
        <v>6.1148927581110375E+151</v>
      </c>
      <c r="QAR53" s="760">
        <f t="shared" si="216"/>
        <v>6.2983395408543689E+151</v>
      </c>
      <c r="QAS53" s="760">
        <f t="shared" si="216"/>
        <v>6.4872897270800006E+151</v>
      </c>
      <c r="QAT53" s="760">
        <f t="shared" si="216"/>
        <v>6.6819084188924006E+151</v>
      </c>
      <c r="QAU53" s="760">
        <f t="shared" si="216"/>
        <v>6.8823656714591727E+151</v>
      </c>
      <c r="QAV53" s="760">
        <f t="shared" si="216"/>
        <v>7.0888366416029475E+151</v>
      </c>
      <c r="QAW53" s="760">
        <f t="shared" si="216"/>
        <v>7.3015017408510359E+151</v>
      </c>
      <c r="QAX53" s="760">
        <f t="shared" si="216"/>
        <v>7.5205467930765669E+151</v>
      </c>
      <c r="QAY53" s="760">
        <f t="shared" si="216"/>
        <v>7.7461631968688645E+151</v>
      </c>
      <c r="QAZ53" s="760">
        <f t="shared" si="216"/>
        <v>7.9785480927749308E+151</v>
      </c>
      <c r="QBA53" s="760">
        <f t="shared" si="216"/>
        <v>8.2179045355581784E+151</v>
      </c>
      <c r="QBB53" s="760">
        <f t="shared" si="216"/>
        <v>8.4644416716249237E+151</v>
      </c>
      <c r="QBC53" s="760">
        <f t="shared" si="216"/>
        <v>8.718374921773672E+151</v>
      </c>
      <c r="QBD53" s="760">
        <f t="shared" si="216"/>
        <v>8.9799261694268828E+151</v>
      </c>
      <c r="QBE53" s="760">
        <f t="shared" si="216"/>
        <v>9.2493239545096896E+151</v>
      </c>
      <c r="QBF53" s="760">
        <f t="shared" si="216"/>
        <v>9.5268036731449807E+151</v>
      </c>
      <c r="QBG53" s="760">
        <f t="shared" si="216"/>
        <v>9.8126077833393305E+151</v>
      </c>
      <c r="QBH53" s="760">
        <f t="shared" si="216"/>
        <v>1.010698601683951E+152</v>
      </c>
      <c r="QBI53" s="760">
        <f t="shared" si="216"/>
        <v>1.0410195597344696E+152</v>
      </c>
      <c r="QBJ53" s="760">
        <f t="shared" si="216"/>
        <v>1.0722501465265037E+152</v>
      </c>
      <c r="QBK53" s="760">
        <f t="shared" si="216"/>
        <v>1.1044176509222989E+152</v>
      </c>
      <c r="QBL53" s="760">
        <f t="shared" si="216"/>
        <v>1.137550180449968E+152</v>
      </c>
      <c r="QBM53" s="760">
        <f t="shared" si="216"/>
        <v>1.1716766858634671E+152</v>
      </c>
      <c r="QBN53" s="760">
        <f t="shared" si="216"/>
        <v>1.2068269864393711E+152</v>
      </c>
      <c r="QBO53" s="760">
        <f t="shared" si="216"/>
        <v>1.2430317960325522E+152</v>
      </c>
      <c r="QBP53" s="760">
        <f t="shared" si="216"/>
        <v>1.2803227499135287E+152</v>
      </c>
      <c r="QBQ53" s="760">
        <f t="shared" si="216"/>
        <v>1.3187324324109346E+152</v>
      </c>
      <c r="QBR53" s="760">
        <f t="shared" si="216"/>
        <v>1.3582944053832626E+152</v>
      </c>
      <c r="QBS53" s="760">
        <f t="shared" si="216"/>
        <v>1.3990432375447604E+152</v>
      </c>
      <c r="QBT53" s="760">
        <f t="shared" si="216"/>
        <v>1.4410145346711033E+152</v>
      </c>
      <c r="QBU53" s="760">
        <f t="shared" si="216"/>
        <v>1.4842449707112364E+152</v>
      </c>
      <c r="QBV53" s="760">
        <f t="shared" si="216"/>
        <v>1.5287723198325736E+152</v>
      </c>
      <c r="QBW53" s="760">
        <f t="shared" si="216"/>
        <v>1.5746354894275509E+152</v>
      </c>
      <c r="QBX53" s="760">
        <f t="shared" si="216"/>
        <v>1.6218745541103774E+152</v>
      </c>
      <c r="QBY53" s="760">
        <f t="shared" si="216"/>
        <v>1.6705307907336886E+152</v>
      </c>
      <c r="QBZ53" s="760">
        <f t="shared" si="216"/>
        <v>1.7206467144556993E+152</v>
      </c>
      <c r="QCA53" s="760">
        <f t="shared" si="216"/>
        <v>1.7722661158893704E+152</v>
      </c>
      <c r="QCB53" s="760">
        <f t="shared" si="216"/>
        <v>1.8254340993660516E+152</v>
      </c>
      <c r="QCC53" s="760">
        <f t="shared" si="216"/>
        <v>1.8801971223470333E+152</v>
      </c>
      <c r="QCD53" s="760">
        <f t="shared" si="216"/>
        <v>1.9366030360174445E+152</v>
      </c>
      <c r="QCE53" s="760">
        <f t="shared" si="216"/>
        <v>1.9947011270979679E+152</v>
      </c>
      <c r="QCF53" s="760">
        <f t="shared" si="216"/>
        <v>2.054542160910907E+152</v>
      </c>
      <c r="QCG53" s="760">
        <f t="shared" si="216"/>
        <v>2.1161784257382343E+152</v>
      </c>
      <c r="QCH53" s="760">
        <f t="shared" si="216"/>
        <v>2.1796637785103814E+152</v>
      </c>
      <c r="QCI53" s="760">
        <f t="shared" si="216"/>
        <v>2.2450536918656927E+152</v>
      </c>
      <c r="QCJ53" s="760">
        <f t="shared" si="216"/>
        <v>2.3124053026216633E+152</v>
      </c>
      <c r="QCK53" s="760">
        <f t="shared" si="216"/>
        <v>2.3817774617003134E+152</v>
      </c>
      <c r="QCL53" s="760">
        <f t="shared" si="216"/>
        <v>2.4532307855513228E+152</v>
      </c>
      <c r="QCM53" s="760">
        <f t="shared" si="216"/>
        <v>2.5268277091178628E+152</v>
      </c>
      <c r="QCN53" s="760">
        <f t="shared" si="216"/>
        <v>2.6026325403913986E+152</v>
      </c>
      <c r="QCO53" s="760">
        <f t="shared" si="216"/>
        <v>2.6807115166031404E+152</v>
      </c>
      <c r="QCP53" s="760">
        <f t="shared" si="216"/>
        <v>2.7611328621012348E+152</v>
      </c>
      <c r="QCQ53" s="760">
        <f t="shared" si="216"/>
        <v>2.8439668479642719E+152</v>
      </c>
      <c r="QCR53" s="760">
        <f t="shared" si="216"/>
        <v>2.9292858534032002E+152</v>
      </c>
      <c r="QCS53" s="760">
        <f t="shared" si="216"/>
        <v>3.0171644290052963E+152</v>
      </c>
      <c r="QCT53" s="760">
        <f t="shared" si="216"/>
        <v>3.1076793618754555E+152</v>
      </c>
      <c r="QCU53" s="760">
        <f t="shared" ref="QCU53:QFF53" si="217">+QCT53*$C$53</f>
        <v>3.2009097427317194E+152</v>
      </c>
      <c r="QCV53" s="760">
        <f t="shared" si="217"/>
        <v>3.296937035013671E+152</v>
      </c>
      <c r="QCW53" s="760">
        <f t="shared" si="217"/>
        <v>3.3958451460640813E+152</v>
      </c>
      <c r="QCX53" s="760">
        <f t="shared" si="217"/>
        <v>3.4977205004460037E+152</v>
      </c>
      <c r="QCY53" s="760">
        <f t="shared" si="217"/>
        <v>3.6026521154593841E+152</v>
      </c>
      <c r="QCZ53" s="760">
        <f t="shared" si="217"/>
        <v>3.7107316789231656E+152</v>
      </c>
      <c r="QDA53" s="760">
        <f t="shared" si="217"/>
        <v>3.8220536292908609E+152</v>
      </c>
      <c r="QDB53" s="760">
        <f t="shared" si="217"/>
        <v>3.9367152381695866E+152</v>
      </c>
      <c r="QDC53" s="760">
        <f t="shared" si="217"/>
        <v>4.0548166953146744E+152</v>
      </c>
      <c r="QDD53" s="760">
        <f t="shared" si="217"/>
        <v>4.1764611961741148E+152</v>
      </c>
      <c r="QDE53" s="760">
        <f t="shared" si="217"/>
        <v>4.3017550320593384E+152</v>
      </c>
      <c r="QDF53" s="760">
        <f t="shared" si="217"/>
        <v>4.4308076830211185E+152</v>
      </c>
      <c r="QDG53" s="760">
        <f t="shared" si="217"/>
        <v>4.5637319135117521E+152</v>
      </c>
      <c r="QDH53" s="760">
        <f t="shared" si="217"/>
        <v>4.7006438709171049E+152</v>
      </c>
      <c r="QDI53" s="760">
        <f t="shared" si="217"/>
        <v>4.8416631870446178E+152</v>
      </c>
      <c r="QDJ53" s="760">
        <f t="shared" si="217"/>
        <v>4.9869130826559563E+152</v>
      </c>
      <c r="QDK53" s="760">
        <f t="shared" si="217"/>
        <v>5.1365204751356347E+152</v>
      </c>
      <c r="QDL53" s="760">
        <f t="shared" si="217"/>
        <v>5.2906160893897042E+152</v>
      </c>
      <c r="QDM53" s="760">
        <f t="shared" si="217"/>
        <v>5.4493345720713959E+152</v>
      </c>
      <c r="QDN53" s="760">
        <f t="shared" si="217"/>
        <v>5.6128146092335375E+152</v>
      </c>
      <c r="QDO53" s="760">
        <f t="shared" si="217"/>
        <v>5.7811990475105439E+152</v>
      </c>
      <c r="QDP53" s="760">
        <f t="shared" si="217"/>
        <v>5.9546350189358599E+152</v>
      </c>
      <c r="QDQ53" s="760">
        <f t="shared" si="217"/>
        <v>6.1332740695039355E+152</v>
      </c>
      <c r="QDR53" s="760">
        <f t="shared" si="217"/>
        <v>6.3172722915890535E+152</v>
      </c>
      <c r="QDS53" s="760">
        <f t="shared" si="217"/>
        <v>6.506790460336725E+152</v>
      </c>
      <c r="QDT53" s="760">
        <f t="shared" si="217"/>
        <v>6.7019941741468273E+152</v>
      </c>
      <c r="QDU53" s="760">
        <f t="shared" si="217"/>
        <v>6.9030539993712321E+152</v>
      </c>
      <c r="QDV53" s="760">
        <f t="shared" si="217"/>
        <v>7.1101456193523692E+152</v>
      </c>
      <c r="QDW53" s="760">
        <f t="shared" si="217"/>
        <v>7.3234499879329408E+152</v>
      </c>
      <c r="QDX53" s="760">
        <f t="shared" si="217"/>
        <v>7.5431534875709295E+152</v>
      </c>
      <c r="QDY53" s="760">
        <f t="shared" si="217"/>
        <v>7.7694480921980577E+152</v>
      </c>
      <c r="QDZ53" s="760">
        <f t="shared" si="217"/>
        <v>8.0025315349639992E+152</v>
      </c>
      <c r="QEA53" s="760">
        <f t="shared" si="217"/>
        <v>8.2426074810129194E+152</v>
      </c>
      <c r="QEB53" s="760">
        <f t="shared" si="217"/>
        <v>8.4898857054433069E+152</v>
      </c>
      <c r="QEC53" s="760">
        <f t="shared" si="217"/>
        <v>8.744582276606606E+152</v>
      </c>
      <c r="QED53" s="760">
        <f t="shared" si="217"/>
        <v>9.0069197449048035E+152</v>
      </c>
      <c r="QEE53" s="760">
        <f t="shared" si="217"/>
        <v>9.2771273372519484E+152</v>
      </c>
      <c r="QEF53" s="760">
        <f t="shared" si="217"/>
        <v>9.5554411573695076E+152</v>
      </c>
      <c r="QEG53" s="760">
        <f t="shared" si="217"/>
        <v>9.8421043920905928E+152</v>
      </c>
      <c r="QEH53" s="760">
        <f t="shared" si="217"/>
        <v>1.0137367523853311E+153</v>
      </c>
      <c r="QEI53" s="760">
        <f t="shared" si="217"/>
        <v>1.0441488549568911E+153</v>
      </c>
      <c r="QEJ53" s="760">
        <f t="shared" si="217"/>
        <v>1.075473320605598E+153</v>
      </c>
      <c r="QEK53" s="760">
        <f t="shared" si="217"/>
        <v>1.107737520223766E+153</v>
      </c>
      <c r="QEL53" s="760">
        <f t="shared" si="217"/>
        <v>1.1409696458304791E+153</v>
      </c>
      <c r="QEM53" s="760">
        <f t="shared" si="217"/>
        <v>1.1751987352053935E+153</v>
      </c>
      <c r="QEN53" s="760">
        <f t="shared" si="217"/>
        <v>1.2104546972615553E+153</v>
      </c>
      <c r="QEO53" s="760">
        <f t="shared" si="217"/>
        <v>1.246768338179402E+153</v>
      </c>
      <c r="QEP53" s="760">
        <f t="shared" si="217"/>
        <v>1.2841713883247841E+153</v>
      </c>
      <c r="QEQ53" s="760">
        <f t="shared" si="217"/>
        <v>1.3226965299745277E+153</v>
      </c>
      <c r="QER53" s="760">
        <f t="shared" si="217"/>
        <v>1.3623774258737636E+153</v>
      </c>
      <c r="QES53" s="760">
        <f t="shared" si="217"/>
        <v>1.4032487486499765E+153</v>
      </c>
      <c r="QET53" s="760">
        <f t="shared" si="217"/>
        <v>1.4453462111094758E+153</v>
      </c>
      <c r="QEU53" s="760">
        <f t="shared" si="217"/>
        <v>1.48870659744276E+153</v>
      </c>
      <c r="QEV53" s="760">
        <f t="shared" si="217"/>
        <v>1.5333677953660428E+153</v>
      </c>
      <c r="QEW53" s="760">
        <f t="shared" si="217"/>
        <v>1.5793688292270242E+153</v>
      </c>
      <c r="QEX53" s="760">
        <f t="shared" si="217"/>
        <v>1.626749894103835E+153</v>
      </c>
      <c r="QEY53" s="760">
        <f t="shared" si="217"/>
        <v>1.6755523909269501E+153</v>
      </c>
      <c r="QEZ53" s="760">
        <f t="shared" si="217"/>
        <v>1.7258189626547585E+153</v>
      </c>
      <c r="QFA53" s="760">
        <f t="shared" si="217"/>
        <v>1.7775935315344015E+153</v>
      </c>
      <c r="QFB53" s="760">
        <f t="shared" si="217"/>
        <v>1.8309213374804335E+153</v>
      </c>
      <c r="QFC53" s="760">
        <f t="shared" si="217"/>
        <v>1.8858489776048465E+153</v>
      </c>
      <c r="QFD53" s="760">
        <f t="shared" si="217"/>
        <v>1.9424244469329919E+153</v>
      </c>
      <c r="QFE53" s="760">
        <f t="shared" si="217"/>
        <v>2.0006971803409815E+153</v>
      </c>
      <c r="QFF53" s="760">
        <f t="shared" si="217"/>
        <v>2.0607180957512108E+153</v>
      </c>
      <c r="QFG53" s="760">
        <f t="shared" ref="QFG53:QHR53" si="218">+QFF53*$C$53</f>
        <v>2.1225396386237473E+153</v>
      </c>
      <c r="QFH53" s="760">
        <f t="shared" si="218"/>
        <v>2.1862158277824599E+153</v>
      </c>
      <c r="QFI53" s="760">
        <f t="shared" si="218"/>
        <v>2.2518023026159339E+153</v>
      </c>
      <c r="QFJ53" s="760">
        <f t="shared" si="218"/>
        <v>2.319356371694412E+153</v>
      </c>
      <c r="QFK53" s="760">
        <f t="shared" si="218"/>
        <v>2.3889370628452445E+153</v>
      </c>
      <c r="QFL53" s="760">
        <f t="shared" si="218"/>
        <v>2.4606051747306019E+153</v>
      </c>
      <c r="QFM53" s="760">
        <f t="shared" si="218"/>
        <v>2.5344233299725201E+153</v>
      </c>
      <c r="QFN53" s="760">
        <f t="shared" si="218"/>
        <v>2.6104560298716956E+153</v>
      </c>
      <c r="QFO53" s="760">
        <f t="shared" si="218"/>
        <v>2.6887697107678465E+153</v>
      </c>
      <c r="QFP53" s="760">
        <f t="shared" si="218"/>
        <v>2.769432802090882E+153</v>
      </c>
      <c r="QFQ53" s="760">
        <f t="shared" si="218"/>
        <v>2.8525157861536085E+153</v>
      </c>
      <c r="QFR53" s="760">
        <f t="shared" si="218"/>
        <v>2.938091259738217E+153</v>
      </c>
      <c r="QFS53" s="760">
        <f t="shared" si="218"/>
        <v>3.0262339975303636E+153</v>
      </c>
      <c r="QFT53" s="760">
        <f t="shared" si="218"/>
        <v>3.1170210174562747E+153</v>
      </c>
      <c r="QFU53" s="760">
        <f t="shared" si="218"/>
        <v>3.2105316479799631E+153</v>
      </c>
      <c r="QFV53" s="760">
        <f t="shared" si="218"/>
        <v>3.3068475974193619E+153</v>
      </c>
      <c r="QFW53" s="760">
        <f t="shared" si="218"/>
        <v>3.4060530253419432E+153</v>
      </c>
      <c r="QFX53" s="760">
        <f t="shared" si="218"/>
        <v>3.5082346161022019E+153</v>
      </c>
      <c r="QFY53" s="760">
        <f t="shared" si="218"/>
        <v>3.6134816545852682E+153</v>
      </c>
      <c r="QFZ53" s="760">
        <f t="shared" si="218"/>
        <v>3.7218861042228261E+153</v>
      </c>
      <c r="QGA53" s="760">
        <f t="shared" si="218"/>
        <v>3.833542687349511E+153</v>
      </c>
      <c r="QGB53" s="760">
        <f t="shared" si="218"/>
        <v>3.9485489679699964E+153</v>
      </c>
      <c r="QGC53" s="760">
        <f t="shared" si="218"/>
        <v>4.0670054370090964E+153</v>
      </c>
      <c r="QGD53" s="760">
        <f t="shared" si="218"/>
        <v>4.1890156001193692E+153</v>
      </c>
      <c r="QGE53" s="760">
        <f t="shared" si="218"/>
        <v>4.31468606812295E+153</v>
      </c>
      <c r="QGF53" s="760">
        <f t="shared" si="218"/>
        <v>4.4441266501666389E+153</v>
      </c>
      <c r="QGG53" s="760">
        <f t="shared" si="218"/>
        <v>4.5774504496716382E+153</v>
      </c>
      <c r="QGH53" s="760">
        <f t="shared" si="218"/>
        <v>4.7147739631617874E+153</v>
      </c>
      <c r="QGI53" s="760">
        <f t="shared" si="218"/>
        <v>4.8562171820566412E+153</v>
      </c>
      <c r="QGJ53" s="760">
        <f t="shared" si="218"/>
        <v>5.0019036975183408E+153</v>
      </c>
      <c r="QGK53" s="760">
        <f t="shared" si="218"/>
        <v>5.1519608084438913E+153</v>
      </c>
      <c r="QGL53" s="760">
        <f t="shared" si="218"/>
        <v>5.3065196326972084E+153</v>
      </c>
      <c r="QGM53" s="760">
        <f t="shared" si="218"/>
        <v>5.465715221678125E+153</v>
      </c>
      <c r="QGN53" s="760">
        <f t="shared" si="218"/>
        <v>5.6296866783284692E+153</v>
      </c>
      <c r="QGO53" s="760">
        <f t="shared" si="218"/>
        <v>5.7985772786783238E+153</v>
      </c>
      <c r="QGP53" s="760">
        <f t="shared" si="218"/>
        <v>5.9725345970386735E+153</v>
      </c>
      <c r="QGQ53" s="760">
        <f t="shared" si="218"/>
        <v>6.151710634949834E+153</v>
      </c>
      <c r="QGR53" s="760">
        <f t="shared" si="218"/>
        <v>6.3362619539983289E+153</v>
      </c>
      <c r="QGS53" s="760">
        <f t="shared" si="218"/>
        <v>6.5263498126182793E+153</v>
      </c>
      <c r="QGT53" s="760">
        <f t="shared" si="218"/>
        <v>6.7221403069968271E+153</v>
      </c>
      <c r="QGU53" s="760">
        <f t="shared" si="218"/>
        <v>6.9238045162067319E+153</v>
      </c>
      <c r="QGV53" s="760">
        <f t="shared" si="218"/>
        <v>7.1315186516929339E+153</v>
      </c>
      <c r="QGW53" s="760">
        <f t="shared" si="218"/>
        <v>7.3454642112437219E+153</v>
      </c>
      <c r="QGX53" s="760">
        <f t="shared" si="218"/>
        <v>7.5658281375810335E+153</v>
      </c>
      <c r="QGY53" s="760">
        <f t="shared" si="218"/>
        <v>7.7928029817084641E+153</v>
      </c>
      <c r="QGZ53" s="760">
        <f t="shared" si="218"/>
        <v>8.0265870711597187E+153</v>
      </c>
      <c r="QHA53" s="760">
        <f t="shared" si="218"/>
        <v>8.2673846832945098E+153</v>
      </c>
      <c r="QHB53" s="760">
        <f t="shared" si="218"/>
        <v>8.5154062237933452E+153</v>
      </c>
      <c r="QHC53" s="760">
        <f t="shared" si="218"/>
        <v>8.7708684105071453E+153</v>
      </c>
      <c r="QHD53" s="760">
        <f t="shared" si="218"/>
        <v>9.0339944628223602E+153</v>
      </c>
      <c r="QHE53" s="760">
        <f t="shared" si="218"/>
        <v>9.3050142967070308E+153</v>
      </c>
      <c r="QHF53" s="760">
        <f t="shared" si="218"/>
        <v>9.5841647256082417E+153</v>
      </c>
      <c r="QHG53" s="760">
        <f t="shared" si="218"/>
        <v>9.8716896673764894E+153</v>
      </c>
      <c r="QHH53" s="760">
        <f t="shared" si="218"/>
        <v>1.0167840357397784E+154</v>
      </c>
      <c r="QHI53" s="760">
        <f t="shared" si="218"/>
        <v>1.0472875568119717E+154</v>
      </c>
      <c r="QHJ53" s="760">
        <f t="shared" si="218"/>
        <v>1.0787061835163309E+154</v>
      </c>
      <c r="QHK53" s="760">
        <f t="shared" si="218"/>
        <v>1.1110673690218208E+154</v>
      </c>
      <c r="QHL53" s="760">
        <f t="shared" si="218"/>
        <v>1.1443993900924755E+154</v>
      </c>
      <c r="QHM53" s="760">
        <f t="shared" si="218"/>
        <v>1.1787313717952499E+154</v>
      </c>
      <c r="QHN53" s="760">
        <f t="shared" si="218"/>
        <v>1.2140933129491074E+154</v>
      </c>
      <c r="QHO53" s="760">
        <f t="shared" si="218"/>
        <v>1.2505161123375807E+154</v>
      </c>
      <c r="QHP53" s="760">
        <f t="shared" si="218"/>
        <v>1.2880315957077082E+154</v>
      </c>
      <c r="QHQ53" s="760">
        <f t="shared" si="218"/>
        <v>1.3266725435789395E+154</v>
      </c>
      <c r="QHR53" s="760">
        <f t="shared" si="218"/>
        <v>1.3664727198863078E+154</v>
      </c>
      <c r="QHS53" s="760">
        <f t="shared" ref="QHS53:QKD53" si="219">+QHR53*$C$53</f>
        <v>1.4074669014828971E+154</v>
      </c>
      <c r="QHT53" s="760">
        <f t="shared" si="219"/>
        <v>1.4496909085273842E+154</v>
      </c>
      <c r="QHU53" s="760">
        <f t="shared" si="219"/>
        <v>1.4931816357832057E+154</v>
      </c>
      <c r="QHV53" s="760">
        <f t="shared" si="219"/>
        <v>1.5379770848567018E+154</v>
      </c>
      <c r="QHW53" s="760">
        <f t="shared" si="219"/>
        <v>1.5841163974024029E+154</v>
      </c>
      <c r="QHX53" s="760">
        <f t="shared" si="219"/>
        <v>1.6316398893244751E+154</v>
      </c>
      <c r="QHY53" s="760">
        <f t="shared" si="219"/>
        <v>1.6805890860042095E+154</v>
      </c>
      <c r="QHZ53" s="760">
        <f t="shared" si="219"/>
        <v>1.7310067585843359E+154</v>
      </c>
      <c r="QIA53" s="760">
        <f t="shared" si="219"/>
        <v>1.782936961341866E+154</v>
      </c>
      <c r="QIB53" s="760">
        <f t="shared" si="219"/>
        <v>1.8364250701821221E+154</v>
      </c>
      <c r="QIC53" s="760">
        <f t="shared" si="219"/>
        <v>1.8915178222875859E+154</v>
      </c>
      <c r="QID53" s="760">
        <f t="shared" si="219"/>
        <v>1.9482633569562136E+154</v>
      </c>
      <c r="QIE53" s="760">
        <f t="shared" si="219"/>
        <v>2.0067112576649E+154</v>
      </c>
      <c r="QIF53" s="760">
        <f t="shared" si="219"/>
        <v>2.066912595394847E+154</v>
      </c>
      <c r="QIG53" s="760">
        <f t="shared" si="219"/>
        <v>2.1289199732566925E+154</v>
      </c>
      <c r="QIH53" s="760">
        <f t="shared" si="219"/>
        <v>2.1927875724543934E+154</v>
      </c>
      <c r="QII53" s="760">
        <f t="shared" si="219"/>
        <v>2.2585711996280252E+154</v>
      </c>
      <c r="QIJ53" s="760">
        <f t="shared" si="219"/>
        <v>2.326328335616866E+154</v>
      </c>
      <c r="QIK53" s="760">
        <f t="shared" si="219"/>
        <v>2.3961181856853721E+154</v>
      </c>
      <c r="QIL53" s="760">
        <f t="shared" si="219"/>
        <v>2.4680017312559334E+154</v>
      </c>
      <c r="QIM53" s="760">
        <f t="shared" si="219"/>
        <v>2.5420417831936115E+154</v>
      </c>
      <c r="QIN53" s="760">
        <f t="shared" si="219"/>
        <v>2.6183030366894198E+154</v>
      </c>
      <c r="QIO53" s="760">
        <f t="shared" si="219"/>
        <v>2.6968521277901027E+154</v>
      </c>
      <c r="QIP53" s="760">
        <f t="shared" si="219"/>
        <v>2.7777576916238061E+154</v>
      </c>
      <c r="QIQ53" s="760">
        <f t="shared" si="219"/>
        <v>2.8610904223725202E+154</v>
      </c>
      <c r="QIR53" s="760">
        <f t="shared" si="219"/>
        <v>2.9469231350436962E+154</v>
      </c>
      <c r="QIS53" s="760">
        <f t="shared" si="219"/>
        <v>3.0353308290950073E+154</v>
      </c>
      <c r="QIT53" s="760">
        <f t="shared" si="219"/>
        <v>3.1263907539678577E+154</v>
      </c>
      <c r="QIU53" s="760">
        <f t="shared" si="219"/>
        <v>3.2201824765868935E+154</v>
      </c>
      <c r="QIV53" s="760">
        <f t="shared" si="219"/>
        <v>3.3167879508845004E+154</v>
      </c>
      <c r="QIW53" s="760">
        <f t="shared" si="219"/>
        <v>3.4162915894110358E+154</v>
      </c>
      <c r="QIX53" s="760">
        <f t="shared" si="219"/>
        <v>3.5187803370933669E+154</v>
      </c>
      <c r="QIY53" s="760">
        <f t="shared" si="219"/>
        <v>3.6243437472061679E+154</v>
      </c>
      <c r="QIZ53" s="760">
        <f t="shared" si="219"/>
        <v>3.7330740596223532E+154</v>
      </c>
      <c r="QJA53" s="760">
        <f t="shared" si="219"/>
        <v>3.8450662814110237E+154</v>
      </c>
      <c r="QJB53" s="760">
        <f t="shared" si="219"/>
        <v>3.9604182698533543E+154</v>
      </c>
      <c r="QJC53" s="760">
        <f t="shared" si="219"/>
        <v>4.0792308179489548E+154</v>
      </c>
      <c r="QJD53" s="760">
        <f t="shared" si="219"/>
        <v>4.2016077424874236E+154</v>
      </c>
      <c r="QJE53" s="760">
        <f t="shared" si="219"/>
        <v>4.3276559747620465E+154</v>
      </c>
      <c r="QJF53" s="760">
        <f t="shared" si="219"/>
        <v>4.4574856540049083E+154</v>
      </c>
      <c r="QJG53" s="760">
        <f t="shared" si="219"/>
        <v>4.5912102236250557E+154</v>
      </c>
      <c r="QJH53" s="760">
        <f t="shared" si="219"/>
        <v>4.7289465303338074E+154</v>
      </c>
      <c r="QJI53" s="760">
        <f t="shared" si="219"/>
        <v>4.8708149262438215E+154</v>
      </c>
      <c r="QJJ53" s="760">
        <f t="shared" si="219"/>
        <v>5.0169393740311362E+154</v>
      </c>
      <c r="QJK53" s="760">
        <f t="shared" si="219"/>
        <v>5.1674475552520705E+154</v>
      </c>
      <c r="QJL53" s="760">
        <f t="shared" si="219"/>
        <v>5.3224709819096327E+154</v>
      </c>
      <c r="QJM53" s="760">
        <f t="shared" si="219"/>
        <v>5.4821451113669217E+154</v>
      </c>
      <c r="QJN53" s="760">
        <f t="shared" si="219"/>
        <v>5.6466094647079289E+154</v>
      </c>
      <c r="QJO53" s="760">
        <f t="shared" si="219"/>
        <v>5.8160077486491674E+154</v>
      </c>
      <c r="QJP53" s="760">
        <f t="shared" si="219"/>
        <v>5.990487981108642E+154</v>
      </c>
      <c r="QJQ53" s="760">
        <f t="shared" si="219"/>
        <v>6.1702026205419015E+154</v>
      </c>
      <c r="QJR53" s="760">
        <f t="shared" si="219"/>
        <v>6.3553086991581591E+154</v>
      </c>
      <c r="QJS53" s="760">
        <f t="shared" si="219"/>
        <v>6.5459679601329044E+154</v>
      </c>
      <c r="QJT53" s="760">
        <f t="shared" si="219"/>
        <v>6.7423469989368917E+154</v>
      </c>
      <c r="QJU53" s="760">
        <f t="shared" si="219"/>
        <v>6.9446174089049984E+154</v>
      </c>
      <c r="QJV53" s="760">
        <f t="shared" si="219"/>
        <v>7.1529559311721482E+154</v>
      </c>
      <c r="QJW53" s="760">
        <f t="shared" si="219"/>
        <v>7.3675446091073124E+154</v>
      </c>
      <c r="QJX53" s="760">
        <f t="shared" si="219"/>
        <v>7.5885709473805321E+154</v>
      </c>
      <c r="QJY53" s="760">
        <f t="shared" si="219"/>
        <v>7.8162280758019488E+154</v>
      </c>
      <c r="QJZ53" s="760">
        <f t="shared" si="219"/>
        <v>8.0507149180760076E+154</v>
      </c>
      <c r="QKA53" s="760">
        <f t="shared" si="219"/>
        <v>8.2922363656182881E+154</v>
      </c>
      <c r="QKB53" s="760">
        <f t="shared" si="219"/>
        <v>8.5410034565868371E+154</v>
      </c>
      <c r="QKC53" s="760">
        <f t="shared" si="219"/>
        <v>8.797233560284443E+154</v>
      </c>
      <c r="QKD53" s="760">
        <f t="shared" si="219"/>
        <v>9.0611505670929771E+154</v>
      </c>
      <c r="QKE53" s="760">
        <f t="shared" ref="QKE53:QMP53" si="220">+QKD53*$C$53</f>
        <v>9.3329850841057663E+154</v>
      </c>
      <c r="QKF53" s="760">
        <f t="shared" si="220"/>
        <v>9.6129746366289393E+154</v>
      </c>
      <c r="QKG53" s="760">
        <f t="shared" si="220"/>
        <v>9.9013638757278082E+154</v>
      </c>
      <c r="QKH53" s="760">
        <f t="shared" si="220"/>
        <v>1.0198404791999643E+155</v>
      </c>
      <c r="QKI53" s="760">
        <f t="shared" si="220"/>
        <v>1.0504356935759633E+155</v>
      </c>
      <c r="QKJ53" s="760">
        <f t="shared" si="220"/>
        <v>1.0819487643832423E+155</v>
      </c>
      <c r="QKK53" s="760">
        <f t="shared" si="220"/>
        <v>1.1144072273147396E+155</v>
      </c>
      <c r="QKL53" s="760">
        <f t="shared" si="220"/>
        <v>1.1478394441341817E+155</v>
      </c>
      <c r="QKM53" s="760">
        <f t="shared" si="220"/>
        <v>1.1822746274582071E+155</v>
      </c>
      <c r="QKN53" s="760">
        <f t="shared" si="220"/>
        <v>1.2177428662819533E+155</v>
      </c>
      <c r="QKO53" s="760">
        <f t="shared" si="220"/>
        <v>1.2542751522704119E+155</v>
      </c>
      <c r="QKP53" s="760">
        <f t="shared" si="220"/>
        <v>1.2919034068385243E+155</v>
      </c>
      <c r="QKQ53" s="760">
        <f t="shared" si="220"/>
        <v>1.3306605090436801E+155</v>
      </c>
      <c r="QKR53" s="760">
        <f t="shared" si="220"/>
        <v>1.3705803243149906E+155</v>
      </c>
      <c r="QKS53" s="760">
        <f t="shared" si="220"/>
        <v>1.4116977340444403E+155</v>
      </c>
      <c r="QKT53" s="760">
        <f t="shared" si="220"/>
        <v>1.4540486660657735E+155</v>
      </c>
      <c r="QKU53" s="760">
        <f t="shared" si="220"/>
        <v>1.4976701260477466E+155</v>
      </c>
      <c r="QKV53" s="760">
        <f t="shared" si="220"/>
        <v>1.5426002298291791E+155</v>
      </c>
      <c r="QKW53" s="760">
        <f t="shared" si="220"/>
        <v>1.5888782367240546E+155</v>
      </c>
      <c r="QKX53" s="760">
        <f t="shared" si="220"/>
        <v>1.6365445838257763E+155</v>
      </c>
      <c r="QKY53" s="760">
        <f t="shared" si="220"/>
        <v>1.6856409213405496E+155</v>
      </c>
      <c r="QKZ53" s="760">
        <f t="shared" si="220"/>
        <v>1.7362101489807661E+155</v>
      </c>
      <c r="QLA53" s="760">
        <f t="shared" si="220"/>
        <v>1.7882964534501891E+155</v>
      </c>
      <c r="QLB53" s="760">
        <f t="shared" si="220"/>
        <v>1.8419453470536948E+155</v>
      </c>
      <c r="QLC53" s="760">
        <f t="shared" si="220"/>
        <v>1.8972037074653056E+155</v>
      </c>
      <c r="QLD53" s="760">
        <f t="shared" si="220"/>
        <v>1.9541198186892649E+155</v>
      </c>
      <c r="QLE53" s="760">
        <f t="shared" si="220"/>
        <v>2.0127434132499428E+155</v>
      </c>
      <c r="QLF53" s="760">
        <f t="shared" si="220"/>
        <v>2.0731257156474411E+155</v>
      </c>
      <c r="QLG53" s="760">
        <f t="shared" si="220"/>
        <v>2.1353194871168644E+155</v>
      </c>
      <c r="QLH53" s="760">
        <f t="shared" si="220"/>
        <v>2.1993790717303704E+155</v>
      </c>
      <c r="QLI53" s="760">
        <f t="shared" si="220"/>
        <v>2.2653604438822817E+155</v>
      </c>
      <c r="QLJ53" s="760">
        <f t="shared" si="220"/>
        <v>2.33332125719875E+155</v>
      </c>
      <c r="QLK53" s="760">
        <f t="shared" si="220"/>
        <v>2.4033208949147124E+155</v>
      </c>
      <c r="QLL53" s="760">
        <f t="shared" si="220"/>
        <v>2.4754205217621537E+155</v>
      </c>
      <c r="QLM53" s="760">
        <f t="shared" si="220"/>
        <v>2.5496831374150184E+155</v>
      </c>
      <c r="QLN53" s="760">
        <f t="shared" si="220"/>
        <v>2.6261736315374691E+155</v>
      </c>
      <c r="QLO53" s="760">
        <f t="shared" si="220"/>
        <v>2.7049588404835933E+155</v>
      </c>
      <c r="QLP53" s="760">
        <f t="shared" si="220"/>
        <v>2.7861076056981011E+155</v>
      </c>
      <c r="QLQ53" s="760">
        <f t="shared" si="220"/>
        <v>2.869690833869044E+155</v>
      </c>
      <c r="QLR53" s="760">
        <f t="shared" si="220"/>
        <v>2.9557815588851155E+155</v>
      </c>
      <c r="QLS53" s="760">
        <f t="shared" si="220"/>
        <v>3.0444550056516692E+155</v>
      </c>
      <c r="QLT53" s="760">
        <f t="shared" si="220"/>
        <v>3.1357886558212193E+155</v>
      </c>
      <c r="QLU53" s="760">
        <f t="shared" si="220"/>
        <v>3.2298623154958559E+155</v>
      </c>
      <c r="QLV53" s="760">
        <f t="shared" si="220"/>
        <v>3.3267581849607317E+155</v>
      </c>
      <c r="QLW53" s="760">
        <f t="shared" si="220"/>
        <v>3.4265609305095537E+155</v>
      </c>
      <c r="QLX53" s="760">
        <f t="shared" si="220"/>
        <v>3.5293577584248402E+155</v>
      </c>
      <c r="QLY53" s="760">
        <f t="shared" si="220"/>
        <v>3.6352384911775854E+155</v>
      </c>
      <c r="QLZ53" s="760">
        <f t="shared" si="220"/>
        <v>3.7442956459129132E+155</v>
      </c>
      <c r="QMA53" s="760">
        <f t="shared" si="220"/>
        <v>3.8566245152903005E+155</v>
      </c>
      <c r="QMB53" s="760">
        <f t="shared" si="220"/>
        <v>3.9723232507490094E+155</v>
      </c>
      <c r="QMC53" s="760">
        <f t="shared" si="220"/>
        <v>4.0914929482714799E+155</v>
      </c>
      <c r="QMD53" s="760">
        <f t="shared" si="220"/>
        <v>4.2142377367196244E+155</v>
      </c>
      <c r="QME53" s="760">
        <f t="shared" si="220"/>
        <v>4.3406648688212136E+155</v>
      </c>
      <c r="QMF53" s="760">
        <f t="shared" si="220"/>
        <v>4.4708848148858498E+155</v>
      </c>
      <c r="QMG53" s="760">
        <f t="shared" si="220"/>
        <v>4.6050113593324254E+155</v>
      </c>
      <c r="QMH53" s="760">
        <f t="shared" si="220"/>
        <v>4.743161700112398E+155</v>
      </c>
      <c r="QMI53" s="760">
        <f t="shared" si="220"/>
        <v>4.8854565511157697E+155</v>
      </c>
      <c r="QMJ53" s="760">
        <f t="shared" si="220"/>
        <v>5.0320202476492426E+155</v>
      </c>
      <c r="QMK53" s="760">
        <f t="shared" si="220"/>
        <v>5.1829808550787205E+155</v>
      </c>
      <c r="QML53" s="760">
        <f t="shared" si="220"/>
        <v>5.3384702807310824E+155</v>
      </c>
      <c r="QMM53" s="760">
        <f t="shared" si="220"/>
        <v>5.4986243891530149E+155</v>
      </c>
      <c r="QMN53" s="760">
        <f t="shared" si="220"/>
        <v>5.6635831208276055E+155</v>
      </c>
      <c r="QMO53" s="760">
        <f t="shared" si="220"/>
        <v>5.8334906144524338E+155</v>
      </c>
      <c r="QMP53" s="760">
        <f t="shared" si="220"/>
        <v>6.0084953328860074E+155</v>
      </c>
      <c r="QMQ53" s="760">
        <f t="shared" ref="QMQ53:QPB53" si="221">+QMP53*$C$53</f>
        <v>6.1887501928725875E+155</v>
      </c>
      <c r="QMR53" s="760">
        <f t="shared" si="221"/>
        <v>6.3744126986587653E+155</v>
      </c>
      <c r="QMS53" s="760">
        <f t="shared" si="221"/>
        <v>6.5656450796185281E+155</v>
      </c>
      <c r="QMT53" s="760">
        <f t="shared" si="221"/>
        <v>6.762614432007084E+155</v>
      </c>
      <c r="QMU53" s="760">
        <f t="shared" si="221"/>
        <v>6.9654928649672966E+155</v>
      </c>
      <c r="QMV53" s="760">
        <f t="shared" si="221"/>
        <v>7.1744576509163156E+155</v>
      </c>
      <c r="QMW53" s="760">
        <f t="shared" si="221"/>
        <v>7.3896913804438048E+155</v>
      </c>
      <c r="QMX53" s="760">
        <f t="shared" si="221"/>
        <v>7.6113821218571191E+155</v>
      </c>
      <c r="QMY53" s="760">
        <f t="shared" si="221"/>
        <v>7.8397235855128325E+155</v>
      </c>
      <c r="QMZ53" s="760">
        <f t="shared" si="221"/>
        <v>8.0749152930782174E+155</v>
      </c>
      <c r="QNA53" s="760">
        <f t="shared" si="221"/>
        <v>8.3171627518705641E+155</v>
      </c>
      <c r="QNB53" s="760">
        <f t="shared" si="221"/>
        <v>8.5666776344266817E+155</v>
      </c>
      <c r="QNC53" s="760">
        <f t="shared" si="221"/>
        <v>8.823677963459482E+155</v>
      </c>
      <c r="QND53" s="760">
        <f t="shared" si="221"/>
        <v>9.0883883023632671E+155</v>
      </c>
      <c r="QNE53" s="760">
        <f t="shared" si="221"/>
        <v>9.3610399514341658E+155</v>
      </c>
      <c r="QNF53" s="760">
        <f t="shared" si="221"/>
        <v>9.6418711499771906E+155</v>
      </c>
      <c r="QNG53" s="760">
        <f t="shared" si="221"/>
        <v>9.9311272844765065E+155</v>
      </c>
      <c r="QNH53" s="760">
        <f t="shared" si="221"/>
        <v>1.0229061103010802E+156</v>
      </c>
      <c r="QNI53" s="760">
        <f t="shared" si="221"/>
        <v>1.0535932936101126E+156</v>
      </c>
      <c r="QNJ53" s="760">
        <f t="shared" si="221"/>
        <v>1.0852010924184159E+156</v>
      </c>
      <c r="QNK53" s="760">
        <f t="shared" si="221"/>
        <v>1.1177571251909684E+156</v>
      </c>
      <c r="QNL53" s="760">
        <f t="shared" si="221"/>
        <v>1.1512898389466975E+156</v>
      </c>
      <c r="QNM53" s="760">
        <f t="shared" si="221"/>
        <v>1.1858285341150985E+156</v>
      </c>
      <c r="QNN53" s="760">
        <f t="shared" si="221"/>
        <v>1.2214033901385515E+156</v>
      </c>
      <c r="QNO53" s="760">
        <f t="shared" si="221"/>
        <v>1.258045491842708E+156</v>
      </c>
      <c r="QNP53" s="760">
        <f t="shared" si="221"/>
        <v>1.2957868565979893E+156</v>
      </c>
      <c r="QNQ53" s="760">
        <f t="shared" si="221"/>
        <v>1.3346604622959289E+156</v>
      </c>
      <c r="QNR53" s="760">
        <f t="shared" si="221"/>
        <v>1.3747002761648069E+156</v>
      </c>
      <c r="QNS53" s="760">
        <f t="shared" si="221"/>
        <v>1.4159412844497511E+156</v>
      </c>
      <c r="QNT53" s="760">
        <f t="shared" si="221"/>
        <v>1.4584195229832436E+156</v>
      </c>
      <c r="QNU53" s="760">
        <f t="shared" si="221"/>
        <v>1.5021721086727409E+156</v>
      </c>
      <c r="QNV53" s="760">
        <f t="shared" si="221"/>
        <v>1.5472372719329232E+156</v>
      </c>
      <c r="QNW53" s="760">
        <f t="shared" si="221"/>
        <v>1.593654390090911E+156</v>
      </c>
      <c r="QNX53" s="760">
        <f t="shared" si="221"/>
        <v>1.6414640217936384E+156</v>
      </c>
      <c r="QNY53" s="760">
        <f t="shared" si="221"/>
        <v>1.6907079424474476E+156</v>
      </c>
      <c r="QNZ53" s="760">
        <f t="shared" si="221"/>
        <v>1.7414291807208712E+156</v>
      </c>
      <c r="QOA53" s="760">
        <f t="shared" si="221"/>
        <v>1.7936720561424973E+156</v>
      </c>
      <c r="QOB53" s="760">
        <f t="shared" si="221"/>
        <v>1.8474822178267723E+156</v>
      </c>
      <c r="QOC53" s="760">
        <f t="shared" si="221"/>
        <v>1.9029066843615754E+156</v>
      </c>
      <c r="QOD53" s="760">
        <f t="shared" si="221"/>
        <v>1.9599938848924226E+156</v>
      </c>
      <c r="QOE53" s="760">
        <f t="shared" si="221"/>
        <v>2.0187937014391953E+156</v>
      </c>
      <c r="QOF53" s="760">
        <f t="shared" si="221"/>
        <v>2.0793575124823712E+156</v>
      </c>
      <c r="QOG53" s="760">
        <f t="shared" si="221"/>
        <v>2.1417382378568425E+156</v>
      </c>
      <c r="QOH53" s="760">
        <f t="shared" si="221"/>
        <v>2.2059903849925479E+156</v>
      </c>
      <c r="QOI53" s="760">
        <f t="shared" si="221"/>
        <v>2.2721700965423244E+156</v>
      </c>
      <c r="QOJ53" s="760">
        <f t="shared" si="221"/>
        <v>2.3403351994385941E+156</v>
      </c>
      <c r="QOK53" s="760">
        <f t="shared" si="221"/>
        <v>2.4105452554217521E+156</v>
      </c>
      <c r="QOL53" s="760">
        <f t="shared" si="221"/>
        <v>2.4828616130844047E+156</v>
      </c>
      <c r="QOM53" s="760">
        <f t="shared" si="221"/>
        <v>2.5573474614769371E+156</v>
      </c>
      <c r="QON53" s="760">
        <f t="shared" si="221"/>
        <v>2.6340678853212454E+156</v>
      </c>
      <c r="QOO53" s="760">
        <f t="shared" si="221"/>
        <v>2.7130899218808827E+156</v>
      </c>
      <c r="QOP53" s="760">
        <f t="shared" si="221"/>
        <v>2.7944826195373091E+156</v>
      </c>
      <c r="QOQ53" s="760">
        <f t="shared" si="221"/>
        <v>2.8783170981234287E+156</v>
      </c>
      <c r="QOR53" s="760">
        <f t="shared" si="221"/>
        <v>2.9646666110671318E+156</v>
      </c>
      <c r="QOS53" s="760">
        <f t="shared" si="221"/>
        <v>3.0536066093991459E+156</v>
      </c>
      <c r="QOT53" s="760">
        <f t="shared" si="221"/>
        <v>3.1452148076811203E+156</v>
      </c>
      <c r="QOU53" s="760">
        <f t="shared" si="221"/>
        <v>3.2395712519115539E+156</v>
      </c>
      <c r="QOV53" s="760">
        <f t="shared" si="221"/>
        <v>3.3367583894689004E+156</v>
      </c>
      <c r="QOW53" s="760">
        <f t="shared" si="221"/>
        <v>3.4368611411529679E+156</v>
      </c>
      <c r="QOX53" s="760">
        <f t="shared" si="221"/>
        <v>3.5399669753875568E+156</v>
      </c>
      <c r="QOY53" s="760">
        <f t="shared" si="221"/>
        <v>3.6461659846491838E+156</v>
      </c>
      <c r="QOZ53" s="760">
        <f t="shared" si="221"/>
        <v>3.7555509641886591E+156</v>
      </c>
      <c r="QPA53" s="760">
        <f t="shared" si="221"/>
        <v>3.868217493114319E+156</v>
      </c>
      <c r="QPB53" s="760">
        <f t="shared" si="221"/>
        <v>3.9842640179077487E+156</v>
      </c>
      <c r="QPC53" s="760">
        <f t="shared" ref="QPC53:QRN53" si="222">+QPB53*$C$53</f>
        <v>4.1037919384449813E+156</v>
      </c>
      <c r="QPD53" s="760">
        <f t="shared" si="222"/>
        <v>4.2269056965983312E+156</v>
      </c>
      <c r="QPE53" s="760">
        <f t="shared" si="222"/>
        <v>4.3537128674962811E+156</v>
      </c>
      <c r="QPF53" s="760">
        <f t="shared" si="222"/>
        <v>4.4843242535211695E+156</v>
      </c>
      <c r="QPG53" s="760">
        <f t="shared" si="222"/>
        <v>4.6188539811268044E+156</v>
      </c>
      <c r="QPH53" s="760">
        <f t="shared" si="222"/>
        <v>4.7574196005606083E+156</v>
      </c>
      <c r="QPI53" s="760">
        <f t="shared" si="222"/>
        <v>4.9001421885774263E+156</v>
      </c>
      <c r="QPJ53" s="760">
        <f t="shared" si="222"/>
        <v>5.0471464542347495E+156</v>
      </c>
      <c r="QPK53" s="760">
        <f t="shared" si="222"/>
        <v>5.1985608478617921E+156</v>
      </c>
      <c r="QPL53" s="760">
        <f t="shared" si="222"/>
        <v>5.354517673297646E+156</v>
      </c>
      <c r="QPM53" s="760">
        <f t="shared" si="222"/>
        <v>5.5151532034965758E+156</v>
      </c>
      <c r="QPN53" s="760">
        <f t="shared" si="222"/>
        <v>5.6806077996014731E+156</v>
      </c>
      <c r="QPO53" s="760">
        <f t="shared" si="222"/>
        <v>5.8510260335895171E+156</v>
      </c>
      <c r="QPP53" s="760">
        <f t="shared" si="222"/>
        <v>6.0265568145972031E+156</v>
      </c>
      <c r="QPQ53" s="760">
        <f t="shared" si="222"/>
        <v>6.2073535190351194E+156</v>
      </c>
      <c r="QPR53" s="760">
        <f t="shared" si="222"/>
        <v>6.3935741246061731E+156</v>
      </c>
      <c r="QPS53" s="760">
        <f t="shared" si="222"/>
        <v>6.5853813483443581E+156</v>
      </c>
      <c r="QPT53" s="760">
        <f t="shared" si="222"/>
        <v>6.7829427887946892E+156</v>
      </c>
      <c r="QPU53" s="760">
        <f t="shared" si="222"/>
        <v>6.9864310724585298E+156</v>
      </c>
      <c r="QPV53" s="760">
        <f t="shared" si="222"/>
        <v>7.1960240046322862E+156</v>
      </c>
      <c r="QPW53" s="760">
        <f t="shared" si="222"/>
        <v>7.411904724771255E+156</v>
      </c>
      <c r="QPX53" s="760">
        <f t="shared" si="222"/>
        <v>7.6342618665143933E+156</v>
      </c>
      <c r="QPY53" s="760">
        <f t="shared" si="222"/>
        <v>7.8632897225098251E+156</v>
      </c>
      <c r="QPZ53" s="760">
        <f t="shared" si="222"/>
        <v>8.09918841418512E+156</v>
      </c>
      <c r="QQA53" s="760">
        <f t="shared" si="222"/>
        <v>8.3421640666106739E+156</v>
      </c>
      <c r="QQB53" s="760">
        <f t="shared" si="222"/>
        <v>8.5924289886089949E+156</v>
      </c>
      <c r="QQC53" s="760">
        <f t="shared" si="222"/>
        <v>8.8502018582672656E+156</v>
      </c>
      <c r="QQD53" s="760">
        <f t="shared" si="222"/>
        <v>9.1157079140152832E+156</v>
      </c>
      <c r="QQE53" s="760">
        <f t="shared" si="222"/>
        <v>9.3891791514357415E+156</v>
      </c>
      <c r="QQF53" s="760">
        <f t="shared" si="222"/>
        <v>9.670854525978814E+156</v>
      </c>
      <c r="QQG53" s="760">
        <f t="shared" si="222"/>
        <v>9.960980161758178E+156</v>
      </c>
      <c r="QQH53" s="760">
        <f t="shared" si="222"/>
        <v>1.0259809566610924E+157</v>
      </c>
      <c r="QQI53" s="760">
        <f t="shared" si="222"/>
        <v>1.0567603853609253E+157</v>
      </c>
      <c r="QQJ53" s="760">
        <f t="shared" si="222"/>
        <v>1.088463196921753E+157</v>
      </c>
      <c r="QQK53" s="760">
        <f t="shared" si="222"/>
        <v>1.1211170928294057E+157</v>
      </c>
      <c r="QQL53" s="760">
        <f t="shared" si="222"/>
        <v>1.1547506056142879E+157</v>
      </c>
      <c r="QQM53" s="760">
        <f t="shared" si="222"/>
        <v>1.1893931237827165E+157</v>
      </c>
      <c r="QQN53" s="760">
        <f t="shared" si="222"/>
        <v>1.2250749174961981E+157</v>
      </c>
      <c r="QQO53" s="760">
        <f t="shared" si="222"/>
        <v>1.261827165021084E+157</v>
      </c>
      <c r="QQP53" s="760">
        <f t="shared" si="222"/>
        <v>1.2996819799717165E+157</v>
      </c>
      <c r="QQQ53" s="760">
        <f t="shared" si="222"/>
        <v>1.338672439370868E+157</v>
      </c>
      <c r="QQR53" s="760">
        <f t="shared" si="222"/>
        <v>1.378832612551994E+157</v>
      </c>
      <c r="QQS53" s="760">
        <f t="shared" si="222"/>
        <v>1.4201975909285537E+157</v>
      </c>
      <c r="QQT53" s="760">
        <f t="shared" si="222"/>
        <v>1.4628035186564103E+157</v>
      </c>
      <c r="QQU53" s="760">
        <f t="shared" si="222"/>
        <v>1.5066876242161027E+157</v>
      </c>
      <c r="QQV53" s="760">
        <f t="shared" si="222"/>
        <v>1.5518882529425859E+157</v>
      </c>
      <c r="QQW53" s="760">
        <f t="shared" si="222"/>
        <v>1.5984449005308635E+157</v>
      </c>
      <c r="QQX53" s="760">
        <f t="shared" si="222"/>
        <v>1.6463982475467893E+157</v>
      </c>
      <c r="QQY53" s="760">
        <f t="shared" si="222"/>
        <v>1.6957901949731931E+157</v>
      </c>
      <c r="QQZ53" s="760">
        <f t="shared" si="222"/>
        <v>1.746663900822389E+157</v>
      </c>
      <c r="QRA53" s="760">
        <f t="shared" si="222"/>
        <v>1.7990638178470607E+157</v>
      </c>
      <c r="QRB53" s="760">
        <f t="shared" si="222"/>
        <v>1.8530357323824725E+157</v>
      </c>
      <c r="QRC53" s="760">
        <f t="shared" si="222"/>
        <v>1.9086268043539466E+157</v>
      </c>
      <c r="QRD53" s="760">
        <f t="shared" si="222"/>
        <v>1.965885608484565E+157</v>
      </c>
      <c r="QRE53" s="760">
        <f t="shared" si="222"/>
        <v>2.0248621767391019E+157</v>
      </c>
      <c r="QRF53" s="760">
        <f t="shared" si="222"/>
        <v>2.085608042041275E+157</v>
      </c>
      <c r="QRG53" s="760">
        <f t="shared" si="222"/>
        <v>2.1481762833025133E+157</v>
      </c>
      <c r="QRH53" s="760">
        <f t="shared" si="222"/>
        <v>2.2126215718015888E+157</v>
      </c>
      <c r="QRI53" s="760">
        <f t="shared" si="222"/>
        <v>2.2790002189556365E+157</v>
      </c>
      <c r="QRJ53" s="760">
        <f t="shared" si="222"/>
        <v>2.3473702255243058E+157</v>
      </c>
      <c r="QRK53" s="760">
        <f t="shared" si="222"/>
        <v>2.4177913322900351E+157</v>
      </c>
      <c r="QRL53" s="760">
        <f t="shared" si="222"/>
        <v>2.4903250722587361E+157</v>
      </c>
      <c r="QRM53" s="760">
        <f t="shared" si="222"/>
        <v>2.5650348244264982E+157</v>
      </c>
      <c r="QRN53" s="760">
        <f t="shared" si="222"/>
        <v>2.6419858691592931E+157</v>
      </c>
      <c r="QRO53" s="760">
        <f t="shared" ref="QRO53:QTZ53" si="223">+QRN53*$C$53</f>
        <v>2.7212454452340721E+157</v>
      </c>
      <c r="QRP53" s="760">
        <f t="shared" si="223"/>
        <v>2.802882808591094E+157</v>
      </c>
      <c r="QRQ53" s="760">
        <f t="shared" si="223"/>
        <v>2.8869692928488271E+157</v>
      </c>
      <c r="QRR53" s="760">
        <f t="shared" si="223"/>
        <v>2.973578371634292E+157</v>
      </c>
      <c r="QRS53" s="760">
        <f t="shared" si="223"/>
        <v>3.0627857227833207E+157</v>
      </c>
      <c r="QRT53" s="760">
        <f t="shared" si="223"/>
        <v>3.1546692944668204E+157</v>
      </c>
      <c r="QRU53" s="760">
        <f t="shared" si="223"/>
        <v>3.2493093733008249E+157</v>
      </c>
      <c r="QRV53" s="760">
        <f t="shared" si="223"/>
        <v>3.3467886544998497E+157</v>
      </c>
      <c r="QRW53" s="760">
        <f t="shared" si="223"/>
        <v>3.4471923141348452E+157</v>
      </c>
      <c r="QRX53" s="760">
        <f t="shared" si="223"/>
        <v>3.5506080835588906E+157</v>
      </c>
      <c r="QRY53" s="760">
        <f t="shared" si="223"/>
        <v>3.6571263260656577E+157</v>
      </c>
      <c r="QRZ53" s="760">
        <f t="shared" si="223"/>
        <v>3.7668401158476277E+157</v>
      </c>
      <c r="QSA53" s="760">
        <f t="shared" si="223"/>
        <v>3.8798453193230565E+157</v>
      </c>
      <c r="QSB53" s="760">
        <f t="shared" si="223"/>
        <v>3.9962406789027483E+157</v>
      </c>
      <c r="QSC53" s="760">
        <f t="shared" si="223"/>
        <v>4.1161278992698309E+157</v>
      </c>
      <c r="QSD53" s="760">
        <f t="shared" si="223"/>
        <v>4.239611736247926E+157</v>
      </c>
      <c r="QSE53" s="760">
        <f t="shared" si="223"/>
        <v>4.3668000883353639E+157</v>
      </c>
      <c r="QSF53" s="760">
        <f t="shared" si="223"/>
        <v>4.4978040909854249E+157</v>
      </c>
      <c r="QSG53" s="760">
        <f t="shared" si="223"/>
        <v>4.6327382137149878E+157</v>
      </c>
      <c r="QSH53" s="760">
        <f t="shared" si="223"/>
        <v>4.7717203601264374E+157</v>
      </c>
      <c r="QSI53" s="760">
        <f t="shared" si="223"/>
        <v>4.9148719709302304E+157</v>
      </c>
      <c r="QSJ53" s="760">
        <f t="shared" si="223"/>
        <v>5.0623181300581377E+157</v>
      </c>
      <c r="QSK53" s="760">
        <f t="shared" si="223"/>
        <v>5.214187673959882E+157</v>
      </c>
      <c r="QSL53" s="760">
        <f t="shared" si="223"/>
        <v>5.3706133041786785E+157</v>
      </c>
      <c r="QSM53" s="760">
        <f t="shared" si="223"/>
        <v>5.5317317033040391E+157</v>
      </c>
      <c r="QSN53" s="760">
        <f t="shared" si="223"/>
        <v>5.6976836544031603E+157</v>
      </c>
      <c r="QSO53" s="760">
        <f t="shared" si="223"/>
        <v>5.8686141640352551E+157</v>
      </c>
      <c r="QSP53" s="760">
        <f t="shared" si="223"/>
        <v>6.0446725889563132E+157</v>
      </c>
      <c r="QSQ53" s="760">
        <f t="shared" si="223"/>
        <v>6.2260127666250028E+157</v>
      </c>
      <c r="QSR53" s="760">
        <f t="shared" si="223"/>
        <v>6.4127931496237531E+157</v>
      </c>
      <c r="QSS53" s="760">
        <f t="shared" si="223"/>
        <v>6.6051769441124661E+157</v>
      </c>
      <c r="QST53" s="760">
        <f t="shared" si="223"/>
        <v>6.8033322524358399E+157</v>
      </c>
      <c r="QSU53" s="760">
        <f t="shared" si="223"/>
        <v>7.0074322200089155E+157</v>
      </c>
      <c r="QSV53" s="760">
        <f t="shared" si="223"/>
        <v>7.2176551866091837E+157</v>
      </c>
      <c r="QSW53" s="760">
        <f t="shared" si="223"/>
        <v>7.4341848422074591E+157</v>
      </c>
      <c r="QSX53" s="760">
        <f t="shared" si="223"/>
        <v>7.6572103874736836E+157</v>
      </c>
      <c r="QSY53" s="760">
        <f t="shared" si="223"/>
        <v>7.8869266990978938E+157</v>
      </c>
      <c r="QSZ53" s="760">
        <f t="shared" si="223"/>
        <v>8.1235345000708307E+157</v>
      </c>
      <c r="QTA53" s="760">
        <f t="shared" si="223"/>
        <v>8.3672405350729557E+157</v>
      </c>
      <c r="QTB53" s="760">
        <f t="shared" si="223"/>
        <v>8.6182577511251452E+157</v>
      </c>
      <c r="QTC53" s="760">
        <f t="shared" si="223"/>
        <v>8.8768054836589E+157</v>
      </c>
      <c r="QTD53" s="760">
        <f t="shared" si="223"/>
        <v>9.1431096481686676E+157</v>
      </c>
      <c r="QTE53" s="760">
        <f t="shared" si="223"/>
        <v>9.4174029376137275E+157</v>
      </c>
      <c r="QTF53" s="760">
        <f t="shared" si="223"/>
        <v>9.6999250257421398E+157</v>
      </c>
      <c r="QTG53" s="760">
        <f t="shared" si="223"/>
        <v>9.9909227765144044E+157</v>
      </c>
      <c r="QTH53" s="760">
        <f t="shared" si="223"/>
        <v>1.0290650459809837E+158</v>
      </c>
      <c r="QTI53" s="760">
        <f t="shared" si="223"/>
        <v>1.0599369973604133E+158</v>
      </c>
      <c r="QTJ53" s="760">
        <f t="shared" si="223"/>
        <v>1.0917351072812257E+158</v>
      </c>
      <c r="QTK53" s="760">
        <f t="shared" si="223"/>
        <v>1.1244871604996626E+158</v>
      </c>
      <c r="QTL53" s="760">
        <f t="shared" si="223"/>
        <v>1.1582217753146524E+158</v>
      </c>
      <c r="QTM53" s="760">
        <f t="shared" si="223"/>
        <v>1.1929684285740919E+158</v>
      </c>
      <c r="QTN53" s="760">
        <f t="shared" si="223"/>
        <v>1.2287574814313146E+158</v>
      </c>
      <c r="QTO53" s="760">
        <f t="shared" si="223"/>
        <v>1.2656202058742541E+158</v>
      </c>
      <c r="QTP53" s="760">
        <f t="shared" si="223"/>
        <v>1.3035888120504816E+158</v>
      </c>
      <c r="QTQ53" s="760">
        <f t="shared" si="223"/>
        <v>1.3426964764119961E+158</v>
      </c>
      <c r="QTR53" s="760">
        <f t="shared" si="223"/>
        <v>1.382977370704356E+158</v>
      </c>
      <c r="QTS53" s="760">
        <f t="shared" si="223"/>
        <v>1.4244666918254866E+158</v>
      </c>
      <c r="QTT53" s="760">
        <f t="shared" si="223"/>
        <v>1.4672006925802513E+158</v>
      </c>
      <c r="QTU53" s="760">
        <f t="shared" si="223"/>
        <v>1.5112167133576589E+158</v>
      </c>
      <c r="QTV53" s="760">
        <f t="shared" si="223"/>
        <v>1.5565532147583886E+158</v>
      </c>
      <c r="QTW53" s="760">
        <f t="shared" si="223"/>
        <v>1.6032498112011404E+158</v>
      </c>
      <c r="QTX53" s="760">
        <f t="shared" si="223"/>
        <v>1.6513473055371747E+158</v>
      </c>
      <c r="QTY53" s="760">
        <f t="shared" si="223"/>
        <v>1.7008877247032899E+158</v>
      </c>
      <c r="QTZ53" s="760">
        <f t="shared" si="223"/>
        <v>1.7519143564443887E+158</v>
      </c>
      <c r="QUA53" s="760">
        <f t="shared" ref="QUA53:QWL53" si="224">+QTZ53*$C$53</f>
        <v>1.8044717871377205E+158</v>
      </c>
      <c r="QUB53" s="760">
        <f t="shared" si="224"/>
        <v>1.858605940751852E+158</v>
      </c>
      <c r="QUC53" s="760">
        <f t="shared" si="224"/>
        <v>1.9143641189744076E+158</v>
      </c>
      <c r="QUD53" s="760">
        <f t="shared" si="224"/>
        <v>1.97179504254364E+158</v>
      </c>
      <c r="QUE53" s="760">
        <f t="shared" si="224"/>
        <v>2.0309488938199491E+158</v>
      </c>
      <c r="QUF53" s="760">
        <f t="shared" si="224"/>
        <v>2.0918773606345476E+158</v>
      </c>
      <c r="QUG53" s="760">
        <f t="shared" si="224"/>
        <v>2.1546336814535841E+158</v>
      </c>
      <c r="QUH53" s="760">
        <f t="shared" si="224"/>
        <v>2.2192726918971914E+158</v>
      </c>
      <c r="QUI53" s="760">
        <f t="shared" si="224"/>
        <v>2.2858508726541072E+158</v>
      </c>
      <c r="QUJ53" s="760">
        <f t="shared" si="224"/>
        <v>2.3544263988337304E+158</v>
      </c>
      <c r="QUK53" s="760">
        <f t="shared" si="224"/>
        <v>2.4250591907987424E+158</v>
      </c>
      <c r="QUL53" s="760">
        <f t="shared" si="224"/>
        <v>2.4978109665227046E+158</v>
      </c>
      <c r="QUM53" s="760">
        <f t="shared" si="224"/>
        <v>2.572745295518386E+158</v>
      </c>
      <c r="QUN53" s="760">
        <f t="shared" si="224"/>
        <v>2.6499276543839375E+158</v>
      </c>
      <c r="QUO53" s="760">
        <f t="shared" si="224"/>
        <v>2.7294254840154557E+158</v>
      </c>
      <c r="QUP53" s="760">
        <f t="shared" si="224"/>
        <v>2.8113082485359196E+158</v>
      </c>
      <c r="QUQ53" s="760">
        <f t="shared" si="224"/>
        <v>2.8956474959919972E+158</v>
      </c>
      <c r="QUR53" s="760">
        <f t="shared" si="224"/>
        <v>2.9825169208717572E+158</v>
      </c>
      <c r="QUS53" s="760">
        <f t="shared" si="224"/>
        <v>3.07199242849791E+158</v>
      </c>
      <c r="QUT53" s="760">
        <f t="shared" si="224"/>
        <v>3.1641522013528472E+158</v>
      </c>
      <c r="QUU53" s="760">
        <f t="shared" si="224"/>
        <v>3.2590767673934328E+158</v>
      </c>
      <c r="QUV53" s="760">
        <f t="shared" si="224"/>
        <v>3.3568490704152357E+158</v>
      </c>
      <c r="QUW53" s="760">
        <f t="shared" si="224"/>
        <v>3.4575545425276926E+158</v>
      </c>
      <c r="QUX53" s="760">
        <f t="shared" si="224"/>
        <v>3.5612811788035233E+158</v>
      </c>
      <c r="QUY53" s="760">
        <f t="shared" si="224"/>
        <v>3.6681196141676294E+158</v>
      </c>
      <c r="QUZ53" s="760">
        <f t="shared" si="224"/>
        <v>3.7781632025926583E+158</v>
      </c>
      <c r="QVA53" s="760">
        <f t="shared" si="224"/>
        <v>3.8915080986704381E+158</v>
      </c>
      <c r="QVB53" s="760">
        <f t="shared" si="224"/>
        <v>4.0082533416305512E+158</v>
      </c>
      <c r="QVC53" s="760">
        <f t="shared" si="224"/>
        <v>4.1285009418794679E+158</v>
      </c>
      <c r="QVD53" s="760">
        <f t="shared" si="224"/>
        <v>4.2523559701358522E+158</v>
      </c>
      <c r="QVE53" s="760">
        <f t="shared" si="224"/>
        <v>4.3799266492399278E+158</v>
      </c>
      <c r="QVF53" s="760">
        <f t="shared" si="224"/>
        <v>4.5113244487171256E+158</v>
      </c>
      <c r="QVG53" s="760">
        <f t="shared" si="224"/>
        <v>4.6466641821786391E+158</v>
      </c>
      <c r="QVH53" s="760">
        <f t="shared" si="224"/>
        <v>4.7860641076439986E+158</v>
      </c>
      <c r="QVI53" s="760">
        <f t="shared" si="224"/>
        <v>4.9296460308733183E+158</v>
      </c>
      <c r="QVJ53" s="760">
        <f t="shared" si="224"/>
        <v>5.0775354117995185E+158</v>
      </c>
      <c r="QVK53" s="760">
        <f t="shared" si="224"/>
        <v>5.2298614741535046E+158</v>
      </c>
      <c r="QVL53" s="760">
        <f t="shared" si="224"/>
        <v>5.3867573183781095E+158</v>
      </c>
      <c r="QVM53" s="760">
        <f t="shared" si="224"/>
        <v>5.5483600379294524E+158</v>
      </c>
      <c r="QVN53" s="760">
        <f t="shared" si="224"/>
        <v>5.7148108390673365E+158</v>
      </c>
      <c r="QVO53" s="760">
        <f t="shared" si="224"/>
        <v>5.8862551642393569E+158</v>
      </c>
      <c r="QVP53" s="760">
        <f t="shared" si="224"/>
        <v>6.0628428191665381E+158</v>
      </c>
      <c r="QVQ53" s="760">
        <f t="shared" si="224"/>
        <v>6.2447281037415345E+158</v>
      </c>
      <c r="QVR53" s="760">
        <f t="shared" si="224"/>
        <v>6.4320699468537807E+158</v>
      </c>
      <c r="QVS53" s="760">
        <f t="shared" si="224"/>
        <v>6.6250320452593945E+158</v>
      </c>
      <c r="QVT53" s="760">
        <f t="shared" si="224"/>
        <v>6.8237830066171764E+158</v>
      </c>
      <c r="QVU53" s="760">
        <f t="shared" si="224"/>
        <v>7.0284964968156917E+158</v>
      </c>
      <c r="QVV53" s="760">
        <f t="shared" si="224"/>
        <v>7.2393513917201631E+158</v>
      </c>
      <c r="QVW53" s="760">
        <f t="shared" si="224"/>
        <v>7.4565319334717679E+158</v>
      </c>
      <c r="QVX53" s="760">
        <f t="shared" si="224"/>
        <v>7.6802278914759212E+158</v>
      </c>
      <c r="QVY53" s="760">
        <f t="shared" si="224"/>
        <v>7.9106347282201995E+158</v>
      </c>
      <c r="QVZ53" s="760">
        <f t="shared" si="224"/>
        <v>8.1479537700668054E+158</v>
      </c>
      <c r="QWA53" s="760">
        <f t="shared" si="224"/>
        <v>8.3923923831688098E+158</v>
      </c>
      <c r="QWB53" s="760">
        <f t="shared" si="224"/>
        <v>8.6441641546638739E+158</v>
      </c>
      <c r="QWC53" s="760">
        <f t="shared" si="224"/>
        <v>8.9034890793037897E+158</v>
      </c>
      <c r="QWD53" s="760">
        <f t="shared" si="224"/>
        <v>9.1705937516829036E+158</v>
      </c>
      <c r="QWE53" s="760">
        <f t="shared" si="224"/>
        <v>9.44571156423339E+158</v>
      </c>
      <c r="QWF53" s="760">
        <f t="shared" si="224"/>
        <v>9.729082911160392E+158</v>
      </c>
      <c r="QWG53" s="760">
        <f t="shared" si="224"/>
        <v>1.0020955398495204E+159</v>
      </c>
      <c r="QWH53" s="760">
        <f t="shared" si="224"/>
        <v>1.032158406045006E+159</v>
      </c>
      <c r="QWI53" s="760">
        <f t="shared" si="224"/>
        <v>1.0631231582263561E+159</v>
      </c>
      <c r="QWJ53" s="760">
        <f t="shared" si="224"/>
        <v>1.0950168529731468E+159</v>
      </c>
      <c r="QWK53" s="760">
        <f t="shared" si="224"/>
        <v>1.1278673585623412E+159</v>
      </c>
      <c r="QWL53" s="760">
        <f t="shared" si="224"/>
        <v>1.1617033793192115E+159</v>
      </c>
      <c r="QWM53" s="760">
        <f t="shared" ref="QWM53:QYX53" si="225">+QWL53*$C$53</f>
        <v>1.196554480698788E+159</v>
      </c>
      <c r="QWN53" s="760">
        <f t="shared" si="225"/>
        <v>1.2324511151197517E+159</v>
      </c>
      <c r="QWO53" s="760">
        <f t="shared" si="225"/>
        <v>1.2694246485733443E+159</v>
      </c>
      <c r="QWP53" s="760">
        <f t="shared" si="225"/>
        <v>1.3075073880305448E+159</v>
      </c>
      <c r="QWQ53" s="760">
        <f t="shared" si="225"/>
        <v>1.3467326096714612E+159</v>
      </c>
      <c r="QWR53" s="760">
        <f t="shared" si="225"/>
        <v>1.387134587961605E+159</v>
      </c>
      <c r="QWS53" s="760">
        <f t="shared" si="225"/>
        <v>1.4287486256004531E+159</v>
      </c>
      <c r="QWT53" s="760">
        <f t="shared" si="225"/>
        <v>1.4716110843684667E+159</v>
      </c>
      <c r="QWU53" s="760">
        <f t="shared" si="225"/>
        <v>1.5157594168995207E+159</v>
      </c>
      <c r="QWV53" s="760">
        <f t="shared" si="225"/>
        <v>1.5612321994065063E+159</v>
      </c>
      <c r="QWW53" s="760">
        <f t="shared" si="225"/>
        <v>1.6080691653887016E+159</v>
      </c>
      <c r="QWX53" s="760">
        <f t="shared" si="225"/>
        <v>1.6563112403503627E+159</v>
      </c>
      <c r="QWY53" s="760">
        <f t="shared" si="225"/>
        <v>1.7060005775608736E+159</v>
      </c>
      <c r="QWZ53" s="760">
        <f t="shared" si="225"/>
        <v>1.7571805948876999E+159</v>
      </c>
      <c r="QXA53" s="760">
        <f t="shared" si="225"/>
        <v>1.8098960127343309E+159</v>
      </c>
      <c r="QXB53" s="760">
        <f t="shared" si="225"/>
        <v>1.864192893116361E+159</v>
      </c>
      <c r="QXC53" s="760">
        <f t="shared" si="225"/>
        <v>1.920118679909852E+159</v>
      </c>
      <c r="QXD53" s="760">
        <f t="shared" si="225"/>
        <v>1.9777222403071476E+159</v>
      </c>
      <c r="QXE53" s="760">
        <f t="shared" si="225"/>
        <v>2.037053907516362E+159</v>
      </c>
      <c r="QXF53" s="760">
        <f t="shared" si="225"/>
        <v>2.0981655247418528E+159</v>
      </c>
      <c r="QXG53" s="760">
        <f t="shared" si="225"/>
        <v>2.1611104904841083E+159</v>
      </c>
      <c r="QXH53" s="760">
        <f t="shared" si="225"/>
        <v>2.2259438051986316E+159</v>
      </c>
      <c r="QXI53" s="760">
        <f t="shared" si="225"/>
        <v>2.2927221193545906E+159</v>
      </c>
      <c r="QXJ53" s="760">
        <f t="shared" si="225"/>
        <v>2.3615037829352285E+159</v>
      </c>
      <c r="QXK53" s="760">
        <f t="shared" si="225"/>
        <v>2.4323488964232855E+159</v>
      </c>
      <c r="QXL53" s="760">
        <f t="shared" si="225"/>
        <v>2.505319363315984E+159</v>
      </c>
      <c r="QXM53" s="760">
        <f t="shared" si="225"/>
        <v>2.5804789442154635E+159</v>
      </c>
      <c r="QXN53" s="760">
        <f t="shared" si="225"/>
        <v>2.6578933125419274E+159</v>
      </c>
      <c r="QXO53" s="760">
        <f t="shared" si="225"/>
        <v>2.7376301119181854E+159</v>
      </c>
      <c r="QXP53" s="760">
        <f t="shared" si="225"/>
        <v>2.819759015275731E+159</v>
      </c>
      <c r="QXQ53" s="760">
        <f t="shared" si="225"/>
        <v>2.9043517857340031E+159</v>
      </c>
      <c r="QXR53" s="760">
        <f t="shared" si="225"/>
        <v>2.9914823393060234E+159</v>
      </c>
      <c r="QXS53" s="760">
        <f t="shared" si="225"/>
        <v>3.0812268094852041E+159</v>
      </c>
      <c r="QXT53" s="760">
        <f t="shared" si="225"/>
        <v>3.1736636137697602E+159</v>
      </c>
      <c r="QXU53" s="760">
        <f t="shared" si="225"/>
        <v>3.268873522182853E+159</v>
      </c>
      <c r="QXV53" s="760">
        <f t="shared" si="225"/>
        <v>3.3669397278483386E+159</v>
      </c>
      <c r="QXW53" s="760">
        <f t="shared" si="225"/>
        <v>3.4679479196837887E+159</v>
      </c>
      <c r="QXX53" s="760">
        <f t="shared" si="225"/>
        <v>3.5719863572743025E+159</v>
      </c>
      <c r="QXY53" s="760">
        <f t="shared" si="225"/>
        <v>3.6791459479925315E+159</v>
      </c>
      <c r="QXZ53" s="760">
        <f t="shared" si="225"/>
        <v>3.7895203264323073E+159</v>
      </c>
      <c r="QYA53" s="760">
        <f t="shared" si="225"/>
        <v>3.9032059362252764E+159</v>
      </c>
      <c r="QYB53" s="760">
        <f t="shared" si="225"/>
        <v>4.0203021143120346E+159</v>
      </c>
      <c r="QYC53" s="760">
        <f t="shared" si="225"/>
        <v>4.1409111777413959E+159</v>
      </c>
      <c r="QYD53" s="760">
        <f t="shared" si="225"/>
        <v>4.2651385130736376E+159</v>
      </c>
      <c r="QYE53" s="760">
        <f t="shared" si="225"/>
        <v>4.3930926684658467E+159</v>
      </c>
      <c r="QYF53" s="760">
        <f t="shared" si="225"/>
        <v>4.524885448519822E+159</v>
      </c>
      <c r="QYG53" s="760">
        <f t="shared" si="225"/>
        <v>4.660632011975417E+159</v>
      </c>
      <c r="QYH53" s="760">
        <f t="shared" si="225"/>
        <v>4.8004509723346798E+159</v>
      </c>
      <c r="QYI53" s="760">
        <f t="shared" si="225"/>
        <v>4.9444645015047205E+159</v>
      </c>
      <c r="QYJ53" s="760">
        <f t="shared" si="225"/>
        <v>5.0927984365498627E+159</v>
      </c>
      <c r="QYK53" s="760">
        <f t="shared" si="225"/>
        <v>5.2455823896463585E+159</v>
      </c>
      <c r="QYL53" s="760">
        <f t="shared" si="225"/>
        <v>5.4029498613357493E+159</v>
      </c>
      <c r="QYM53" s="760">
        <f t="shared" si="225"/>
        <v>5.5650383571758218E+159</v>
      </c>
      <c r="QYN53" s="760">
        <f t="shared" si="225"/>
        <v>5.7319895078910963E+159</v>
      </c>
      <c r="QYO53" s="760">
        <f t="shared" si="225"/>
        <v>5.9039491931278294E+159</v>
      </c>
      <c r="QYP53" s="760">
        <f t="shared" si="225"/>
        <v>6.0810676689216644E+159</v>
      </c>
      <c r="QYQ53" s="760">
        <f t="shared" si="225"/>
        <v>6.2634996989893149E+159</v>
      </c>
      <c r="QYR53" s="760">
        <f t="shared" si="225"/>
        <v>6.4514046899589941E+159</v>
      </c>
      <c r="QYS53" s="760">
        <f t="shared" si="225"/>
        <v>6.6449468306577639E+159</v>
      </c>
      <c r="QYT53" s="760">
        <f t="shared" si="225"/>
        <v>6.8442952355774974E+159</v>
      </c>
      <c r="QYU53" s="760">
        <f t="shared" si="225"/>
        <v>7.0496240926448228E+159</v>
      </c>
      <c r="QYV53" s="760">
        <f t="shared" si="225"/>
        <v>7.2611128154241672E+159</v>
      </c>
      <c r="QYW53" s="760">
        <f t="shared" si="225"/>
        <v>7.4789461998868926E+159</v>
      </c>
      <c r="QYX53" s="760">
        <f t="shared" si="225"/>
        <v>7.7033145858835003E+159</v>
      </c>
      <c r="QYY53" s="760">
        <f t="shared" ref="QYY53:RBJ53" si="226">+QYX53*$C$53</f>
        <v>7.9344140234600057E+159</v>
      </c>
      <c r="QYZ53" s="760">
        <f t="shared" si="226"/>
        <v>8.172446444163806E+159</v>
      </c>
      <c r="QZA53" s="760">
        <f t="shared" si="226"/>
        <v>8.41761983748872E+159</v>
      </c>
      <c r="QZB53" s="760">
        <f t="shared" si="226"/>
        <v>8.6701484326133812E+159</v>
      </c>
      <c r="QZC53" s="760">
        <f t="shared" si="226"/>
        <v>8.9302528855917831E+159</v>
      </c>
      <c r="QZD53" s="760">
        <f t="shared" si="226"/>
        <v>9.1981604721595369E+159</v>
      </c>
      <c r="QZE53" s="760">
        <f t="shared" si="226"/>
        <v>9.474105286324324E+159</v>
      </c>
      <c r="QZF53" s="760">
        <f t="shared" si="226"/>
        <v>9.7583284449140539E+159</v>
      </c>
      <c r="QZG53" s="760">
        <f t="shared" si="226"/>
        <v>1.0051078298261476E+160</v>
      </c>
      <c r="QZH53" s="760">
        <f t="shared" si="226"/>
        <v>1.0352610647209321E+160</v>
      </c>
      <c r="QZI53" s="760">
        <f t="shared" si="226"/>
        <v>1.0663188966625601E+160</v>
      </c>
      <c r="QZJ53" s="760">
        <f t="shared" si="226"/>
        <v>1.0983084635624369E+160</v>
      </c>
      <c r="QZK53" s="760">
        <f t="shared" si="226"/>
        <v>1.1312577174693101E+160</v>
      </c>
      <c r="QZL53" s="760">
        <f t="shared" si="226"/>
        <v>1.1651954489933894E+160</v>
      </c>
      <c r="QZM53" s="760">
        <f t="shared" si="226"/>
        <v>1.2001513124631911E+160</v>
      </c>
      <c r="QZN53" s="760">
        <f t="shared" si="226"/>
        <v>1.2361558518370868E+160</v>
      </c>
      <c r="QZO53" s="760">
        <f t="shared" si="226"/>
        <v>1.2732405273921994E+160</v>
      </c>
      <c r="QZP53" s="760">
        <f t="shared" si="226"/>
        <v>1.3114377432139654E+160</v>
      </c>
      <c r="QZQ53" s="760">
        <f t="shared" si="226"/>
        <v>1.3507808755103844E+160</v>
      </c>
      <c r="QZR53" s="760">
        <f t="shared" si="226"/>
        <v>1.3913043017756959E+160</v>
      </c>
      <c r="QZS53" s="760">
        <f t="shared" si="226"/>
        <v>1.4330434308289669E+160</v>
      </c>
      <c r="QZT53" s="760">
        <f t="shared" si="226"/>
        <v>1.4760347337538361E+160</v>
      </c>
      <c r="QZU53" s="760">
        <f t="shared" si="226"/>
        <v>1.5203157757664512E+160</v>
      </c>
      <c r="QZV53" s="760">
        <f t="shared" si="226"/>
        <v>1.5659252490394446E+160</v>
      </c>
      <c r="QZW53" s="760">
        <f t="shared" si="226"/>
        <v>1.6129030065106281E+160</v>
      </c>
      <c r="QZX53" s="760">
        <f t="shared" si="226"/>
        <v>1.6612900967059471E+160</v>
      </c>
      <c r="QZY53" s="760">
        <f t="shared" si="226"/>
        <v>1.7111287996071256E+160</v>
      </c>
      <c r="QZZ53" s="760">
        <f t="shared" si="226"/>
        <v>1.7624626635953393E+160</v>
      </c>
      <c r="RAA53" s="760">
        <f t="shared" si="226"/>
        <v>1.8153365435031995E+160</v>
      </c>
      <c r="RAB53" s="760">
        <f t="shared" si="226"/>
        <v>1.8697966398082954E+160</v>
      </c>
      <c r="RAC53" s="760">
        <f t="shared" si="226"/>
        <v>1.9258905390025443E+160</v>
      </c>
      <c r="RAD53" s="760">
        <f t="shared" si="226"/>
        <v>1.9836672551726206E+160</v>
      </c>
      <c r="RAE53" s="760">
        <f t="shared" si="226"/>
        <v>2.0431772728277993E+160</v>
      </c>
      <c r="RAF53" s="760">
        <f t="shared" si="226"/>
        <v>2.1044725910126334E+160</v>
      </c>
      <c r="RAG53" s="760">
        <f t="shared" si="226"/>
        <v>2.1676067687430125E+160</v>
      </c>
      <c r="RAH53" s="760">
        <f t="shared" si="226"/>
        <v>2.232634971805303E+160</v>
      </c>
      <c r="RAI53" s="760">
        <f t="shared" si="226"/>
        <v>2.2996140209594621E+160</v>
      </c>
      <c r="RAJ53" s="760">
        <f t="shared" si="226"/>
        <v>2.368602441588246E+160</v>
      </c>
      <c r="RAK53" s="760">
        <f t="shared" si="226"/>
        <v>2.4396605148358935E+160</v>
      </c>
      <c r="RAL53" s="760">
        <f t="shared" si="226"/>
        <v>2.5128503302809703E+160</v>
      </c>
      <c r="RAM53" s="760">
        <f t="shared" si="226"/>
        <v>2.5882358401893996E+160</v>
      </c>
      <c r="RAN53" s="760">
        <f t="shared" si="226"/>
        <v>2.6658829153950816E+160</v>
      </c>
      <c r="RAO53" s="760">
        <f t="shared" si="226"/>
        <v>2.7458594028569341E+160</v>
      </c>
      <c r="RAP53" s="760">
        <f t="shared" si="226"/>
        <v>2.8282351849426422E+160</v>
      </c>
      <c r="RAQ53" s="760">
        <f t="shared" si="226"/>
        <v>2.9130822404909214E+160</v>
      </c>
      <c r="RAR53" s="760">
        <f t="shared" si="226"/>
        <v>3.0004747077056492E+160</v>
      </c>
      <c r="RAS53" s="760">
        <f t="shared" si="226"/>
        <v>3.090488948936819E+160</v>
      </c>
      <c r="RAT53" s="760">
        <f t="shared" si="226"/>
        <v>3.1832036174049234E+160</v>
      </c>
      <c r="RAU53" s="760">
        <f t="shared" si="226"/>
        <v>3.278699725927071E+160</v>
      </c>
      <c r="RAV53" s="760">
        <f t="shared" si="226"/>
        <v>3.3770607177048829E+160</v>
      </c>
      <c r="RAW53" s="760">
        <f t="shared" si="226"/>
        <v>3.4783725392360297E+160</v>
      </c>
      <c r="RAX53" s="760">
        <f t="shared" si="226"/>
        <v>3.5827237154131108E+160</v>
      </c>
      <c r="RAY53" s="760">
        <f t="shared" si="226"/>
        <v>3.6902054268755039E+160</v>
      </c>
      <c r="RAZ53" s="760">
        <f t="shared" si="226"/>
        <v>3.8009115896817688E+160</v>
      </c>
      <c r="RBA53" s="760">
        <f t="shared" si="226"/>
        <v>3.9149389373722222E+160</v>
      </c>
      <c r="RBB53" s="760">
        <f t="shared" si="226"/>
        <v>4.0323871054933892E+160</v>
      </c>
      <c r="RBC53" s="760">
        <f t="shared" si="226"/>
        <v>4.1533587186581908E+160</v>
      </c>
      <c r="RBD53" s="760">
        <f t="shared" si="226"/>
        <v>4.2779594802179367E+160</v>
      </c>
      <c r="RBE53" s="760">
        <f t="shared" si="226"/>
        <v>4.4062982646244749E+160</v>
      </c>
      <c r="RBF53" s="760">
        <f t="shared" si="226"/>
        <v>4.5384872125632091E+160</v>
      </c>
      <c r="RBG53" s="760">
        <f t="shared" si="226"/>
        <v>4.6746418289401058E+160</v>
      </c>
      <c r="RBH53" s="760">
        <f t="shared" si="226"/>
        <v>4.8148810838083088E+160</v>
      </c>
      <c r="RBI53" s="760">
        <f t="shared" si="226"/>
        <v>4.9593275163225581E+160</v>
      </c>
      <c r="RBJ53" s="760">
        <f t="shared" si="226"/>
        <v>5.1081073418122349E+160</v>
      </c>
      <c r="RBK53" s="760">
        <f t="shared" ref="RBK53:RDV53" si="227">+RBJ53*$C$53</f>
        <v>5.2613505620666019E+160</v>
      </c>
      <c r="RBL53" s="760">
        <f t="shared" si="227"/>
        <v>5.4191910789286002E+160</v>
      </c>
      <c r="RBM53" s="760">
        <f t="shared" si="227"/>
        <v>5.5817668112964585E+160</v>
      </c>
      <c r="RBN53" s="760">
        <f t="shared" si="227"/>
        <v>5.7492198156353521E+160</v>
      </c>
      <c r="RBO53" s="760">
        <f t="shared" si="227"/>
        <v>5.9216964101044127E+160</v>
      </c>
      <c r="RBP53" s="760">
        <f t="shared" si="227"/>
        <v>6.0993473024075451E+160</v>
      </c>
      <c r="RBQ53" s="760">
        <f t="shared" si="227"/>
        <v>6.282327721479772E+160</v>
      </c>
      <c r="RBR53" s="760">
        <f t="shared" si="227"/>
        <v>6.4707975531241654E+160</v>
      </c>
      <c r="RBS53" s="760">
        <f t="shared" si="227"/>
        <v>6.6649214797178906E+160</v>
      </c>
      <c r="RBT53" s="760">
        <f t="shared" si="227"/>
        <v>6.8648691241094272E+160</v>
      </c>
      <c r="RBU53" s="760">
        <f t="shared" si="227"/>
        <v>7.0708151978327102E+160</v>
      </c>
      <c r="RBV53" s="760">
        <f t="shared" si="227"/>
        <v>7.2829396537676922E+160</v>
      </c>
      <c r="RBW53" s="760">
        <f t="shared" si="227"/>
        <v>7.5014278433807235E+160</v>
      </c>
      <c r="RBX53" s="760">
        <f t="shared" si="227"/>
        <v>7.7264706786821458E+160</v>
      </c>
      <c r="RBY53" s="760">
        <f t="shared" si="227"/>
        <v>7.9582647990426101E+160</v>
      </c>
      <c r="RBZ53" s="760">
        <f t="shared" si="227"/>
        <v>8.1970127430138892E+160</v>
      </c>
      <c r="RCA53" s="760">
        <f t="shared" si="227"/>
        <v>8.4429231253043061E+160</v>
      </c>
      <c r="RCB53" s="760">
        <f t="shared" si="227"/>
        <v>8.6962108190634357E+160</v>
      </c>
      <c r="RCC53" s="760">
        <f t="shared" si="227"/>
        <v>8.9570971436353393E+160</v>
      </c>
      <c r="RCD53" s="760">
        <f t="shared" si="227"/>
        <v>9.2258100579443997E+160</v>
      </c>
      <c r="RCE53" s="760">
        <f t="shared" si="227"/>
        <v>9.5025843596827324E+160</v>
      </c>
      <c r="RCF53" s="760">
        <f t="shared" si="227"/>
        <v>9.7876618904732149E+160</v>
      </c>
      <c r="RCG53" s="760">
        <f t="shared" si="227"/>
        <v>1.0081291747187412E+161</v>
      </c>
      <c r="RCH53" s="760">
        <f t="shared" si="227"/>
        <v>1.0383730499603034E+161</v>
      </c>
      <c r="RCI53" s="760">
        <f t="shared" si="227"/>
        <v>1.0695242414591126E+161</v>
      </c>
      <c r="RCJ53" s="760">
        <f t="shared" si="227"/>
        <v>1.1016099687028859E+161</v>
      </c>
      <c r="RCK53" s="760">
        <f t="shared" si="227"/>
        <v>1.1346582677639726E+161</v>
      </c>
      <c r="RCL53" s="760">
        <f t="shared" si="227"/>
        <v>1.1686980157968919E+161</v>
      </c>
      <c r="RCM53" s="760">
        <f t="shared" si="227"/>
        <v>1.2037589562707989E+161</v>
      </c>
      <c r="RCN53" s="760">
        <f t="shared" si="227"/>
        <v>1.2398717249589228E+161</v>
      </c>
      <c r="RCO53" s="760">
        <f t="shared" si="227"/>
        <v>1.2770678767076904E+161</v>
      </c>
      <c r="RCP53" s="760">
        <f t="shared" si="227"/>
        <v>1.3153799130089212E+161</v>
      </c>
      <c r="RCQ53" s="760">
        <f t="shared" si="227"/>
        <v>1.3548413103991889E+161</v>
      </c>
      <c r="RCR53" s="760">
        <f t="shared" si="227"/>
        <v>1.3954865497111645E+161</v>
      </c>
      <c r="RCS53" s="760">
        <f t="shared" si="227"/>
        <v>1.4373511462024995E+161</v>
      </c>
      <c r="RCT53" s="760">
        <f t="shared" si="227"/>
        <v>1.4804716805885746E+161</v>
      </c>
      <c r="RCU53" s="760">
        <f t="shared" si="227"/>
        <v>1.5248858310062318E+161</v>
      </c>
      <c r="RCV53" s="760">
        <f t="shared" si="227"/>
        <v>1.5706324059364188E+161</v>
      </c>
      <c r="RCW53" s="760">
        <f t="shared" si="227"/>
        <v>1.6177513781145114E+161</v>
      </c>
      <c r="RCX53" s="760">
        <f t="shared" si="227"/>
        <v>1.6662839194579468E+161</v>
      </c>
      <c r="RCY53" s="760">
        <f t="shared" si="227"/>
        <v>1.7162724370416853E+161</v>
      </c>
      <c r="RCZ53" s="760">
        <f t="shared" si="227"/>
        <v>1.7677606101529359E+161</v>
      </c>
      <c r="RDA53" s="760">
        <f t="shared" si="227"/>
        <v>1.8207934284575242E+161</v>
      </c>
      <c r="RDB53" s="760">
        <f t="shared" si="227"/>
        <v>1.87541723131125E+161</v>
      </c>
      <c r="RDC53" s="760">
        <f t="shared" si="227"/>
        <v>1.9316797482505875E+161</v>
      </c>
      <c r="RDD53" s="760">
        <f t="shared" si="227"/>
        <v>1.9896301406981052E+161</v>
      </c>
      <c r="RDE53" s="760">
        <f t="shared" si="227"/>
        <v>2.0493190449190483E+161</v>
      </c>
      <c r="RDF53" s="760">
        <f t="shared" si="227"/>
        <v>2.1107986162666197E+161</v>
      </c>
      <c r="RDG53" s="760">
        <f t="shared" si="227"/>
        <v>2.1741225747546183E+161</v>
      </c>
      <c r="RDH53" s="760">
        <f t="shared" si="227"/>
        <v>2.239346251997257E+161</v>
      </c>
      <c r="RDI53" s="760">
        <f t="shared" si="227"/>
        <v>2.3065266395571747E+161</v>
      </c>
      <c r="RDJ53" s="760">
        <f t="shared" si="227"/>
        <v>2.3757224387438899E+161</v>
      </c>
      <c r="RDK53" s="760">
        <f t="shared" si="227"/>
        <v>2.4469941119062064E+161</v>
      </c>
      <c r="RDL53" s="760">
        <f t="shared" si="227"/>
        <v>2.5204039352633926E+161</v>
      </c>
      <c r="RDM53" s="760">
        <f t="shared" si="227"/>
        <v>2.5960160533212944E+161</v>
      </c>
      <c r="RDN53" s="760">
        <f t="shared" si="227"/>
        <v>2.6738965349209335E+161</v>
      </c>
      <c r="RDO53" s="760">
        <f t="shared" si="227"/>
        <v>2.7541134309685614E+161</v>
      </c>
      <c r="RDP53" s="760">
        <f t="shared" si="227"/>
        <v>2.8367368338976185E+161</v>
      </c>
      <c r="RDQ53" s="760">
        <f t="shared" si="227"/>
        <v>2.9218389389145472E+161</v>
      </c>
      <c r="RDR53" s="760">
        <f t="shared" si="227"/>
        <v>3.0094941070819835E+161</v>
      </c>
      <c r="RDS53" s="760">
        <f t="shared" si="227"/>
        <v>3.099778930294443E+161</v>
      </c>
      <c r="RDT53" s="760">
        <f t="shared" si="227"/>
        <v>3.1927722982032763E+161</v>
      </c>
      <c r="RDU53" s="760">
        <f t="shared" si="227"/>
        <v>3.288555467149375E+161</v>
      </c>
      <c r="RDV53" s="760">
        <f t="shared" si="227"/>
        <v>3.3872121311638563E+161</v>
      </c>
      <c r="RDW53" s="760">
        <f t="shared" ref="RDW53:RGH53" si="228">+RDV53*$C$53</f>
        <v>3.4888284950987723E+161</v>
      </c>
      <c r="RDX53" s="760">
        <f t="shared" si="228"/>
        <v>3.5934933499517357E+161</v>
      </c>
      <c r="RDY53" s="760">
        <f t="shared" si="228"/>
        <v>3.7012981504502878E+161</v>
      </c>
      <c r="RDZ53" s="760">
        <f t="shared" si="228"/>
        <v>3.8123370949637965E+161</v>
      </c>
      <c r="REA53" s="760">
        <f t="shared" si="228"/>
        <v>3.9267072078127103E+161</v>
      </c>
      <c r="REB53" s="760">
        <f t="shared" si="228"/>
        <v>4.0445084240470917E+161</v>
      </c>
      <c r="REC53" s="760">
        <f t="shared" si="228"/>
        <v>4.1658436767685045E+161</v>
      </c>
      <c r="RED53" s="760">
        <f t="shared" si="228"/>
        <v>4.2908189870715596E+161</v>
      </c>
      <c r="REE53" s="760">
        <f t="shared" si="228"/>
        <v>4.4195435566837067E+161</v>
      </c>
      <c r="REF53" s="760">
        <f t="shared" si="228"/>
        <v>4.5521298633842182E+161</v>
      </c>
      <c r="REG53" s="760">
        <f t="shared" si="228"/>
        <v>4.6886937592857452E+161</v>
      </c>
      <c r="REH53" s="760">
        <f t="shared" si="228"/>
        <v>4.8293545720643182E+161</v>
      </c>
      <c r="REI53" s="760">
        <f t="shared" si="228"/>
        <v>4.9742352092262479E+161</v>
      </c>
      <c r="REJ53" s="760">
        <f t="shared" si="228"/>
        <v>5.1234622655030356E+161</v>
      </c>
      <c r="REK53" s="760">
        <f t="shared" si="228"/>
        <v>5.2771661334681266E+161</v>
      </c>
      <c r="REL53" s="760">
        <f t="shared" si="228"/>
        <v>5.4354811174721708E+161</v>
      </c>
      <c r="REM53" s="760">
        <f t="shared" si="228"/>
        <v>5.5985455509963362E+161</v>
      </c>
      <c r="REN53" s="760">
        <f t="shared" si="228"/>
        <v>5.7665019175262264E+161</v>
      </c>
      <c r="REO53" s="760">
        <f t="shared" si="228"/>
        <v>5.9394969750520133E+161</v>
      </c>
      <c r="REP53" s="760">
        <f t="shared" si="228"/>
        <v>6.1176818843035737E+161</v>
      </c>
      <c r="REQ53" s="760">
        <f t="shared" si="228"/>
        <v>6.3012123408326807E+161</v>
      </c>
      <c r="RER53" s="760">
        <f t="shared" si="228"/>
        <v>6.4902487110576614E+161</v>
      </c>
      <c r="RES53" s="760">
        <f t="shared" si="228"/>
        <v>6.6849561723893914E+161</v>
      </c>
      <c r="RET53" s="760">
        <f t="shared" si="228"/>
        <v>6.8855048575610733E+161</v>
      </c>
      <c r="REU53" s="760">
        <f t="shared" si="228"/>
        <v>7.0920700032879052E+161</v>
      </c>
      <c r="REV53" s="760">
        <f t="shared" si="228"/>
        <v>7.3048321033865422E+161</v>
      </c>
      <c r="REW53" s="760">
        <f t="shared" si="228"/>
        <v>7.5239770664881384E+161</v>
      </c>
      <c r="REX53" s="760">
        <f t="shared" si="228"/>
        <v>7.7496963784827829E+161</v>
      </c>
      <c r="REY53" s="760">
        <f t="shared" si="228"/>
        <v>7.9821872698372662E+161</v>
      </c>
      <c r="REZ53" s="760">
        <f t="shared" si="228"/>
        <v>8.2216528879323841E+161</v>
      </c>
      <c r="RFA53" s="760">
        <f t="shared" si="228"/>
        <v>8.4683024745703554E+161</v>
      </c>
      <c r="RFB53" s="760">
        <f t="shared" si="228"/>
        <v>8.7223515488074661E+161</v>
      </c>
      <c r="RFC53" s="760">
        <f t="shared" si="228"/>
        <v>8.9840220952716906E+161</v>
      </c>
      <c r="RFD53" s="760">
        <f t="shared" si="228"/>
        <v>9.2535427581298406E+161</v>
      </c>
      <c r="RFE53" s="760">
        <f t="shared" si="228"/>
        <v>9.5311490408737355E+161</v>
      </c>
      <c r="RFF53" s="760">
        <f t="shared" si="228"/>
        <v>9.8170835120999485E+161</v>
      </c>
      <c r="RFG53" s="760">
        <f t="shared" si="228"/>
        <v>1.0111596017462948E+162</v>
      </c>
      <c r="RFH53" s="760">
        <f t="shared" si="228"/>
        <v>1.0414943897986837E+162</v>
      </c>
      <c r="RFI53" s="760">
        <f t="shared" si="228"/>
        <v>1.0727392214926442E+162</v>
      </c>
      <c r="RFJ53" s="760">
        <f t="shared" si="228"/>
        <v>1.1049213981374236E+162</v>
      </c>
      <c r="RFK53" s="760">
        <f t="shared" si="228"/>
        <v>1.1380690400815463E+162</v>
      </c>
      <c r="RFL53" s="760">
        <f t="shared" si="228"/>
        <v>1.1722111112839927E+162</v>
      </c>
      <c r="RFM53" s="760">
        <f t="shared" si="228"/>
        <v>1.2073774446225125E+162</v>
      </c>
      <c r="RFN53" s="760">
        <f t="shared" si="228"/>
        <v>1.2435987679611879E+162</v>
      </c>
      <c r="RFO53" s="760">
        <f t="shared" si="228"/>
        <v>1.2809067310000235E+162</v>
      </c>
      <c r="RFP53" s="760">
        <f t="shared" si="228"/>
        <v>1.3193339329300243E+162</v>
      </c>
      <c r="RFQ53" s="760">
        <f t="shared" si="228"/>
        <v>1.3589139509179251E+162</v>
      </c>
      <c r="RFR53" s="760">
        <f t="shared" si="228"/>
        <v>1.3996813694454628E+162</v>
      </c>
      <c r="RFS53" s="760">
        <f t="shared" si="228"/>
        <v>1.4416718105288267E+162</v>
      </c>
      <c r="RFT53" s="760">
        <f t="shared" si="228"/>
        <v>1.4849219648446916E+162</v>
      </c>
      <c r="RFU53" s="760">
        <f t="shared" si="228"/>
        <v>1.5294696237900325E+162</v>
      </c>
      <c r="RFV53" s="760">
        <f t="shared" si="228"/>
        <v>1.5753537125037335E+162</v>
      </c>
      <c r="RFW53" s="760">
        <f t="shared" si="228"/>
        <v>1.6226143238788455E+162</v>
      </c>
      <c r="RFX53" s="760">
        <f t="shared" si="228"/>
        <v>1.671292753595211E+162</v>
      </c>
      <c r="RFY53" s="760">
        <f t="shared" si="228"/>
        <v>1.7214315362030673E+162</v>
      </c>
      <c r="RFZ53" s="760">
        <f t="shared" si="228"/>
        <v>1.7730744822891593E+162</v>
      </c>
      <c r="RGA53" s="760">
        <f t="shared" si="228"/>
        <v>1.8262667167578341E+162</v>
      </c>
      <c r="RGB53" s="760">
        <f t="shared" si="228"/>
        <v>1.8810547182605691E+162</v>
      </c>
      <c r="RGC53" s="760">
        <f t="shared" si="228"/>
        <v>1.9374863598083861E+162</v>
      </c>
      <c r="RGD53" s="760">
        <f t="shared" si="228"/>
        <v>1.9956109506026377E+162</v>
      </c>
      <c r="RGE53" s="760">
        <f t="shared" si="228"/>
        <v>2.0554792791207167E+162</v>
      </c>
      <c r="RGF53" s="760">
        <f t="shared" si="228"/>
        <v>2.1171436574943384E+162</v>
      </c>
      <c r="RGG53" s="760">
        <f t="shared" si="228"/>
        <v>2.1806579672191687E+162</v>
      </c>
      <c r="RGH53" s="760">
        <f t="shared" si="228"/>
        <v>2.2460777062357438E+162</v>
      </c>
      <c r="RGI53" s="760">
        <f t="shared" ref="RGI53:RIT53" si="229">+RGH53*$C$53</f>
        <v>2.313460037422816E+162</v>
      </c>
      <c r="RGJ53" s="760">
        <f t="shared" si="229"/>
        <v>2.3828638385455006E+162</v>
      </c>
      <c r="RGK53" s="760">
        <f t="shared" si="229"/>
        <v>2.4543497537018658E+162</v>
      </c>
      <c r="RGL53" s="760">
        <f t="shared" si="229"/>
        <v>2.5279802463129216E+162</v>
      </c>
      <c r="RGM53" s="760">
        <f t="shared" si="229"/>
        <v>2.6038196537023094E+162</v>
      </c>
      <c r="RGN53" s="760">
        <f t="shared" si="229"/>
        <v>2.6819342433133786E+162</v>
      </c>
      <c r="RGO53" s="760">
        <f t="shared" si="229"/>
        <v>2.76239227061278E+162</v>
      </c>
      <c r="RGP53" s="760">
        <f t="shared" si="229"/>
        <v>2.8452640387311636E+162</v>
      </c>
      <c r="RGQ53" s="760">
        <f t="shared" si="229"/>
        <v>2.9306219598930984E+162</v>
      </c>
      <c r="RGR53" s="760">
        <f t="shared" si="229"/>
        <v>3.0185406186898915E+162</v>
      </c>
      <c r="RGS53" s="760">
        <f t="shared" si="229"/>
        <v>3.1090968372505885E+162</v>
      </c>
      <c r="RGT53" s="760">
        <f t="shared" si="229"/>
        <v>3.2023697423681064E+162</v>
      </c>
      <c r="RGU53" s="760">
        <f t="shared" si="229"/>
        <v>3.2984408346391499E+162</v>
      </c>
      <c r="RGV53" s="760">
        <f t="shared" si="229"/>
        <v>3.3973940596783246E+162</v>
      </c>
      <c r="RGW53" s="760">
        <f t="shared" si="229"/>
        <v>3.4993158814686744E+162</v>
      </c>
      <c r="RGX53" s="760">
        <f t="shared" si="229"/>
        <v>3.6042953579127351E+162</v>
      </c>
      <c r="RGY53" s="760">
        <f t="shared" si="229"/>
        <v>3.712424218650117E+162</v>
      </c>
      <c r="RGZ53" s="760">
        <f t="shared" si="229"/>
        <v>3.8237969452096205E+162</v>
      </c>
      <c r="RHA53" s="760">
        <f t="shared" si="229"/>
        <v>3.9385108535659091E+162</v>
      </c>
      <c r="RHB53" s="760">
        <f t="shared" si="229"/>
        <v>4.0566661791728863E+162</v>
      </c>
      <c r="RHC53" s="760">
        <f t="shared" si="229"/>
        <v>4.1783661645480726E+162</v>
      </c>
      <c r="RHD53" s="760">
        <f t="shared" si="229"/>
        <v>4.3037171494845152E+162</v>
      </c>
      <c r="RHE53" s="760">
        <f t="shared" si="229"/>
        <v>4.4328286639690504E+162</v>
      </c>
      <c r="RHF53" s="760">
        <f t="shared" si="229"/>
        <v>4.5658135238881218E+162</v>
      </c>
      <c r="RHG53" s="760">
        <f t="shared" si="229"/>
        <v>4.702787929604766E+162</v>
      </c>
      <c r="RHH53" s="760">
        <f t="shared" si="229"/>
        <v>4.8438715674929092E+162</v>
      </c>
      <c r="RHI53" s="760">
        <f t="shared" si="229"/>
        <v>4.9891877145176965E+162</v>
      </c>
      <c r="RHJ53" s="760">
        <f t="shared" si="229"/>
        <v>5.1388633459532275E+162</v>
      </c>
      <c r="RHK53" s="760">
        <f t="shared" si="229"/>
        <v>5.2930292463318241E+162</v>
      </c>
      <c r="RHL53" s="760">
        <f t="shared" si="229"/>
        <v>5.4518201237217792E+162</v>
      </c>
      <c r="RHM53" s="760">
        <f t="shared" si="229"/>
        <v>5.6153747274334324E+162</v>
      </c>
      <c r="RHN53" s="760">
        <f t="shared" si="229"/>
        <v>5.7838359692564356E+162</v>
      </c>
      <c r="RHO53" s="760">
        <f t="shared" si="229"/>
        <v>5.9573510483341286E+162</v>
      </c>
      <c r="RHP53" s="760">
        <f t="shared" si="229"/>
        <v>6.136071579784153E+162</v>
      </c>
      <c r="RHQ53" s="760">
        <f t="shared" si="229"/>
        <v>6.3201537271776774E+162</v>
      </c>
      <c r="RHR53" s="760">
        <f t="shared" si="229"/>
        <v>6.5097583389930079E+162</v>
      </c>
      <c r="RHS53" s="760">
        <f t="shared" si="229"/>
        <v>6.7050510891627981E+162</v>
      </c>
      <c r="RHT53" s="760">
        <f t="shared" si="229"/>
        <v>6.9062026218376823E+162</v>
      </c>
      <c r="RHU53" s="760">
        <f t="shared" si="229"/>
        <v>7.113388700492813E+162</v>
      </c>
      <c r="RHV53" s="760">
        <f t="shared" si="229"/>
        <v>7.3267903615075974E+162</v>
      </c>
      <c r="RHW53" s="760">
        <f t="shared" si="229"/>
        <v>7.5465940723528263E+162</v>
      </c>
      <c r="RHX53" s="760">
        <f t="shared" si="229"/>
        <v>7.7729918945234107E+162</v>
      </c>
      <c r="RHY53" s="760">
        <f t="shared" si="229"/>
        <v>8.006181651359113E+162</v>
      </c>
      <c r="RHZ53" s="760">
        <f t="shared" si="229"/>
        <v>8.2463671008998872E+162</v>
      </c>
      <c r="RIA53" s="760">
        <f t="shared" si="229"/>
        <v>8.4937581139268833E+162</v>
      </c>
      <c r="RIB53" s="760">
        <f t="shared" si="229"/>
        <v>8.7485708573446897E+162</v>
      </c>
      <c r="RIC53" s="760">
        <f t="shared" si="229"/>
        <v>9.0110279830650304E+162</v>
      </c>
      <c r="RID53" s="760">
        <f t="shared" si="229"/>
        <v>9.2813588225569813E+162</v>
      </c>
      <c r="RIE53" s="760">
        <f t="shared" si="229"/>
        <v>9.5597995872336916E+162</v>
      </c>
      <c r="RIF53" s="760">
        <f t="shared" si="229"/>
        <v>9.8465935748507028E+162</v>
      </c>
      <c r="RIG53" s="760">
        <f t="shared" si="229"/>
        <v>1.0141991382096225E+163</v>
      </c>
      <c r="RIH53" s="760">
        <f t="shared" si="229"/>
        <v>1.0446251123559111E+163</v>
      </c>
      <c r="RII53" s="760">
        <f t="shared" si="229"/>
        <v>1.0759638657265885E+163</v>
      </c>
      <c r="RIJ53" s="760">
        <f t="shared" si="229"/>
        <v>1.1082427816983861E+163</v>
      </c>
      <c r="RIK53" s="760">
        <f t="shared" si="229"/>
        <v>1.1414900651493377E+163</v>
      </c>
      <c r="RIL53" s="760">
        <f t="shared" si="229"/>
        <v>1.1757347671038178E+163</v>
      </c>
      <c r="RIM53" s="760">
        <f t="shared" si="229"/>
        <v>1.2110068101169325E+163</v>
      </c>
      <c r="RIN53" s="760">
        <f t="shared" si="229"/>
        <v>1.2473370144204404E+163</v>
      </c>
      <c r="RIO53" s="760">
        <f t="shared" si="229"/>
        <v>1.2847571248530537E+163</v>
      </c>
      <c r="RIP53" s="760">
        <f t="shared" si="229"/>
        <v>1.3232998385986453E+163</v>
      </c>
      <c r="RIQ53" s="760">
        <f t="shared" si="229"/>
        <v>1.3629988337566046E+163</v>
      </c>
      <c r="RIR53" s="760">
        <f t="shared" si="229"/>
        <v>1.4038887987693028E+163</v>
      </c>
      <c r="RIS53" s="760">
        <f t="shared" si="229"/>
        <v>1.4460054627323818E+163</v>
      </c>
      <c r="RIT53" s="760">
        <f t="shared" si="229"/>
        <v>1.4893856266143531E+163</v>
      </c>
      <c r="RIU53" s="760">
        <f t="shared" ref="RIU53:RLF53" si="230">+RIT53*$C$53</f>
        <v>1.5340671954127838E+163</v>
      </c>
      <c r="RIV53" s="760">
        <f t="shared" si="230"/>
        <v>1.5800892112751672E+163</v>
      </c>
      <c r="RIW53" s="760">
        <f t="shared" si="230"/>
        <v>1.6274918876134222E+163</v>
      </c>
      <c r="RIX53" s="760">
        <f t="shared" si="230"/>
        <v>1.676316644241825E+163</v>
      </c>
      <c r="RIY53" s="760">
        <f t="shared" si="230"/>
        <v>1.7266061435690798E+163</v>
      </c>
      <c r="RIZ53" s="760">
        <f t="shared" si="230"/>
        <v>1.7784043278761521E+163</v>
      </c>
      <c r="RJA53" s="760">
        <f t="shared" si="230"/>
        <v>1.8317564577124365E+163</v>
      </c>
      <c r="RJB53" s="760">
        <f t="shared" si="230"/>
        <v>1.8867091514438096E+163</v>
      </c>
      <c r="RJC53" s="760">
        <f t="shared" si="230"/>
        <v>1.9433104259871241E+163</v>
      </c>
      <c r="RJD53" s="760">
        <f t="shared" si="230"/>
        <v>2.001609738766738E+163</v>
      </c>
      <c r="RJE53" s="760">
        <f t="shared" si="230"/>
        <v>2.0616580309297401E+163</v>
      </c>
      <c r="RJF53" s="760">
        <f t="shared" si="230"/>
        <v>2.1235077718576323E+163</v>
      </c>
      <c r="RJG53" s="760">
        <f t="shared" si="230"/>
        <v>2.1872130050133613E+163</v>
      </c>
      <c r="RJH53" s="760">
        <f t="shared" si="230"/>
        <v>2.2528293951637622E+163</v>
      </c>
      <c r="RJI53" s="760">
        <f t="shared" si="230"/>
        <v>2.3204142770186753E+163</v>
      </c>
      <c r="RJJ53" s="760">
        <f t="shared" si="230"/>
        <v>2.3900267053292357E+163</v>
      </c>
      <c r="RJK53" s="760">
        <f t="shared" si="230"/>
        <v>2.4617275064891128E+163</v>
      </c>
      <c r="RJL53" s="760">
        <f t="shared" si="230"/>
        <v>2.5355793316837863E+163</v>
      </c>
      <c r="RJM53" s="760">
        <f t="shared" si="230"/>
        <v>2.6116467116343E+163</v>
      </c>
      <c r="RJN53" s="760">
        <f t="shared" si="230"/>
        <v>2.6899961129833291E+163</v>
      </c>
      <c r="RJO53" s="760">
        <f t="shared" si="230"/>
        <v>2.770695996372829E+163</v>
      </c>
      <c r="RJP53" s="760">
        <f t="shared" si="230"/>
        <v>2.853816876264014E+163</v>
      </c>
      <c r="RJQ53" s="760">
        <f t="shared" si="230"/>
        <v>2.9394313825519345E+163</v>
      </c>
      <c r="RJR53" s="760">
        <f t="shared" si="230"/>
        <v>3.0276143240284929E+163</v>
      </c>
      <c r="RJS53" s="760">
        <f t="shared" si="230"/>
        <v>3.1184427537493481E+163</v>
      </c>
      <c r="RJT53" s="760">
        <f t="shared" si="230"/>
        <v>3.2119960363618283E+163</v>
      </c>
      <c r="RJU53" s="760">
        <f t="shared" si="230"/>
        <v>3.3083559174526834E+163</v>
      </c>
      <c r="RJV53" s="760">
        <f t="shared" si="230"/>
        <v>3.4076065949762641E+163</v>
      </c>
      <c r="RJW53" s="760">
        <f t="shared" si="230"/>
        <v>3.5098347928255522E+163</v>
      </c>
      <c r="RJX53" s="760">
        <f t="shared" si="230"/>
        <v>3.615129836610319E+163</v>
      </c>
      <c r="RJY53" s="760">
        <f t="shared" si="230"/>
        <v>3.7235837317086288E+163</v>
      </c>
      <c r="RJZ53" s="760">
        <f t="shared" si="230"/>
        <v>3.8352912436598875E+163</v>
      </c>
      <c r="RKA53" s="760">
        <f t="shared" si="230"/>
        <v>3.9503499809696843E+163</v>
      </c>
      <c r="RKB53" s="760">
        <f t="shared" si="230"/>
        <v>4.0688604803987748E+163</v>
      </c>
      <c r="RKC53" s="760">
        <f t="shared" si="230"/>
        <v>4.1909262948107381E+163</v>
      </c>
      <c r="RKD53" s="760">
        <f t="shared" si="230"/>
        <v>4.3166540836550603E+163</v>
      </c>
      <c r="RKE53" s="760">
        <f t="shared" si="230"/>
        <v>4.446153706164712E+163</v>
      </c>
      <c r="RKF53" s="760">
        <f t="shared" si="230"/>
        <v>4.5795383173496538E+163</v>
      </c>
      <c r="RKG53" s="760">
        <f t="shared" si="230"/>
        <v>4.7169244668701436E+163</v>
      </c>
      <c r="RKH53" s="760">
        <f t="shared" si="230"/>
        <v>4.8584322008762479E+163</v>
      </c>
      <c r="RKI53" s="760">
        <f t="shared" si="230"/>
        <v>5.0041851669025356E+163</v>
      </c>
      <c r="RKJ53" s="760">
        <f t="shared" si="230"/>
        <v>5.154310721909612E+163</v>
      </c>
      <c r="RKK53" s="760">
        <f t="shared" si="230"/>
        <v>5.3089400435669003E+163</v>
      </c>
      <c r="RKL53" s="760">
        <f t="shared" si="230"/>
        <v>5.4682082448739074E+163</v>
      </c>
      <c r="RKM53" s="760">
        <f t="shared" si="230"/>
        <v>5.6322544922201245E+163</v>
      </c>
      <c r="RKN53" s="760">
        <f t="shared" si="230"/>
        <v>5.8012221269867282E+163</v>
      </c>
      <c r="RKO53" s="760">
        <f t="shared" si="230"/>
        <v>5.9752587907963304E+163</v>
      </c>
      <c r="RKP53" s="760">
        <f t="shared" si="230"/>
        <v>6.1545165545202199E+163</v>
      </c>
      <c r="RKQ53" s="760">
        <f t="shared" si="230"/>
        <v>6.3391520511558273E+163</v>
      </c>
      <c r="RKR53" s="760">
        <f t="shared" si="230"/>
        <v>6.529326612690502E+163</v>
      </c>
      <c r="RKS53" s="760">
        <f t="shared" si="230"/>
        <v>6.7252064110712175E+163</v>
      </c>
      <c r="RKT53" s="760">
        <f t="shared" si="230"/>
        <v>6.9269626034033541E+163</v>
      </c>
      <c r="RKU53" s="760">
        <f t="shared" si="230"/>
        <v>7.1347714815054548E+163</v>
      </c>
      <c r="RKV53" s="760">
        <f t="shared" si="230"/>
        <v>7.3488146259506182E+163</v>
      </c>
      <c r="RKW53" s="760">
        <f t="shared" si="230"/>
        <v>7.5692790647291363E+163</v>
      </c>
      <c r="RKX53" s="760">
        <f t="shared" si="230"/>
        <v>7.7963574366710104E+163</v>
      </c>
      <c r="RKY53" s="760">
        <f t="shared" si="230"/>
        <v>8.0302481597711406E+163</v>
      </c>
      <c r="RKZ53" s="760">
        <f t="shared" si="230"/>
        <v>8.2711556045642751E+163</v>
      </c>
      <c r="RLA53" s="760">
        <f t="shared" si="230"/>
        <v>8.5192902727012038E+163</v>
      </c>
      <c r="RLB53" s="760">
        <f t="shared" si="230"/>
        <v>8.7748689808822396E+163</v>
      </c>
      <c r="RLC53" s="760">
        <f t="shared" si="230"/>
        <v>9.0381150503087073E+163</v>
      </c>
      <c r="RLD53" s="760">
        <f t="shared" si="230"/>
        <v>9.3092585018179684E+163</v>
      </c>
      <c r="RLE53" s="760">
        <f t="shared" si="230"/>
        <v>9.588536256872508E+163</v>
      </c>
      <c r="RLF53" s="760">
        <f t="shared" si="230"/>
        <v>9.8761923445786841E+163</v>
      </c>
      <c r="RLG53" s="760">
        <f t="shared" ref="RLG53:RNR53" si="231">+RLF53*$C$53</f>
        <v>1.0172478114916045E+164</v>
      </c>
      <c r="RLH53" s="760">
        <f t="shared" si="231"/>
        <v>1.0477652458363527E+164</v>
      </c>
      <c r="RLI53" s="760">
        <f t="shared" si="231"/>
        <v>1.0791982032114432E+164</v>
      </c>
      <c r="RLJ53" s="760">
        <f t="shared" si="231"/>
        <v>1.1115741493077866E+164</v>
      </c>
      <c r="RLK53" s="760">
        <f t="shared" si="231"/>
        <v>1.1449213737870202E+164</v>
      </c>
      <c r="RLL53" s="760">
        <f t="shared" si="231"/>
        <v>1.1792690150006307E+164</v>
      </c>
      <c r="RLM53" s="760">
        <f t="shared" si="231"/>
        <v>1.2146470854506498E+164</v>
      </c>
      <c r="RLN53" s="760">
        <f t="shared" si="231"/>
        <v>1.2510864980141693E+164</v>
      </c>
      <c r="RLO53" s="760">
        <f t="shared" si="231"/>
        <v>1.2886190929545945E+164</v>
      </c>
      <c r="RLP53" s="760">
        <f t="shared" si="231"/>
        <v>1.3272776657432324E+164</v>
      </c>
      <c r="RLQ53" s="760">
        <f t="shared" si="231"/>
        <v>1.3670959957155293E+164</v>
      </c>
      <c r="RLR53" s="760">
        <f t="shared" si="231"/>
        <v>1.4081088755869952E+164</v>
      </c>
      <c r="RLS53" s="760">
        <f t="shared" si="231"/>
        <v>1.4503521418546052E+164</v>
      </c>
      <c r="RLT53" s="760">
        <f t="shared" si="231"/>
        <v>1.4938627061102433E+164</v>
      </c>
      <c r="RLU53" s="760">
        <f t="shared" si="231"/>
        <v>1.5386785872935507E+164</v>
      </c>
      <c r="RLV53" s="760">
        <f t="shared" si="231"/>
        <v>1.5848389449123573E+164</v>
      </c>
      <c r="RLW53" s="760">
        <f t="shared" si="231"/>
        <v>1.6323841132597279E+164</v>
      </c>
      <c r="RLX53" s="760">
        <f t="shared" si="231"/>
        <v>1.6813556366575197E+164</v>
      </c>
      <c r="RLY53" s="760">
        <f t="shared" si="231"/>
        <v>1.7317963057572452E+164</v>
      </c>
      <c r="RLZ53" s="760">
        <f t="shared" si="231"/>
        <v>1.7837501949299626E+164</v>
      </c>
      <c r="RMA53" s="760">
        <f t="shared" si="231"/>
        <v>1.8372627007778616E+164</v>
      </c>
      <c r="RMB53" s="760">
        <f t="shared" si="231"/>
        <v>1.8923805818011975E+164</v>
      </c>
      <c r="RMC53" s="760">
        <f t="shared" si="231"/>
        <v>1.9491519992552335E+164</v>
      </c>
      <c r="RMD53" s="760">
        <f t="shared" si="231"/>
        <v>2.0076265592328904E+164</v>
      </c>
      <c r="RME53" s="760">
        <f t="shared" si="231"/>
        <v>2.0678553560098772E+164</v>
      </c>
      <c r="RMF53" s="760">
        <f t="shared" si="231"/>
        <v>2.1298910166901736E+164</v>
      </c>
      <c r="RMG53" s="760">
        <f t="shared" si="231"/>
        <v>2.1937877471908789E+164</v>
      </c>
      <c r="RMH53" s="760">
        <f t="shared" si="231"/>
        <v>2.2596013796066054E+164</v>
      </c>
      <c r="RMI53" s="760">
        <f t="shared" si="231"/>
        <v>2.3273894209948035E+164</v>
      </c>
      <c r="RMJ53" s="760">
        <f t="shared" si="231"/>
        <v>2.3972111036246475E+164</v>
      </c>
      <c r="RMK53" s="760">
        <f t="shared" si="231"/>
        <v>2.4691274367333871E+164</v>
      </c>
      <c r="RML53" s="760">
        <f t="shared" si="231"/>
        <v>2.5432012598353888E+164</v>
      </c>
      <c r="RMM53" s="760">
        <f t="shared" si="231"/>
        <v>2.6194972976304508E+164</v>
      </c>
      <c r="RMN53" s="760">
        <f t="shared" si="231"/>
        <v>2.6980822165593643E+164</v>
      </c>
      <c r="RMO53" s="760">
        <f t="shared" si="231"/>
        <v>2.7790246830561451E+164</v>
      </c>
      <c r="RMP53" s="760">
        <f t="shared" si="231"/>
        <v>2.8623954235478296E+164</v>
      </c>
      <c r="RMQ53" s="760">
        <f t="shared" si="231"/>
        <v>2.9482672862542647E+164</v>
      </c>
      <c r="RMR53" s="760">
        <f t="shared" si="231"/>
        <v>3.036715304841893E+164</v>
      </c>
      <c r="RMS53" s="760">
        <f t="shared" si="231"/>
        <v>3.1278167639871498E+164</v>
      </c>
      <c r="RMT53" s="760">
        <f t="shared" si="231"/>
        <v>3.2216512669067645E+164</v>
      </c>
      <c r="RMU53" s="760">
        <f t="shared" si="231"/>
        <v>3.3183008049139677E+164</v>
      </c>
      <c r="RMV53" s="760">
        <f t="shared" si="231"/>
        <v>3.417849829061387E+164</v>
      </c>
      <c r="RMW53" s="760">
        <f t="shared" si="231"/>
        <v>3.5203853239332289E+164</v>
      </c>
      <c r="RMX53" s="760">
        <f t="shared" si="231"/>
        <v>3.6259968836512258E+164</v>
      </c>
      <c r="RMY53" s="760">
        <f t="shared" si="231"/>
        <v>3.7347767901607628E+164</v>
      </c>
      <c r="RMZ53" s="760">
        <f t="shared" si="231"/>
        <v>3.8468200938655858E+164</v>
      </c>
      <c r="RNA53" s="760">
        <f t="shared" si="231"/>
        <v>3.9622246966815533E+164</v>
      </c>
      <c r="RNB53" s="760">
        <f t="shared" si="231"/>
        <v>4.0810914375820002E+164</v>
      </c>
      <c r="RNC53" s="760">
        <f t="shared" si="231"/>
        <v>4.2035241807094604E+164</v>
      </c>
      <c r="RND53" s="760">
        <f t="shared" si="231"/>
        <v>4.3296299061307443E+164</v>
      </c>
      <c r="RNE53" s="760">
        <f t="shared" si="231"/>
        <v>4.4595188033146669E+164</v>
      </c>
      <c r="RNF53" s="760">
        <f t="shared" si="231"/>
        <v>4.5933043674141072E+164</v>
      </c>
      <c r="RNG53" s="760">
        <f t="shared" si="231"/>
        <v>4.7311034984365308E+164</v>
      </c>
      <c r="RNH53" s="760">
        <f t="shared" si="231"/>
        <v>4.8730366033896268E+164</v>
      </c>
      <c r="RNI53" s="760">
        <f t="shared" si="231"/>
        <v>5.0192277014913157E+164</v>
      </c>
      <c r="RNJ53" s="760">
        <f t="shared" si="231"/>
        <v>5.1698045325360558E+164</v>
      </c>
      <c r="RNK53" s="760">
        <f t="shared" si="231"/>
        <v>5.3248986685121375E+164</v>
      </c>
      <c r="RNL53" s="760">
        <f t="shared" si="231"/>
        <v>5.4846456285675014E+164</v>
      </c>
      <c r="RNM53" s="760">
        <f t="shared" si="231"/>
        <v>5.6491849974245264E+164</v>
      </c>
      <c r="RNN53" s="760">
        <f t="shared" si="231"/>
        <v>5.8186605473472626E+164</v>
      </c>
      <c r="RNO53" s="760">
        <f t="shared" si="231"/>
        <v>5.9932203637676804E+164</v>
      </c>
      <c r="RNP53" s="760">
        <f t="shared" si="231"/>
        <v>6.1730169746807108E+164</v>
      </c>
      <c r="RNQ53" s="760">
        <f t="shared" si="231"/>
        <v>6.3582074839211319E+164</v>
      </c>
      <c r="RNR53" s="760">
        <f t="shared" si="231"/>
        <v>6.5489537084387663E+164</v>
      </c>
      <c r="RNS53" s="760">
        <f t="shared" ref="RNS53:RQD53" si="232">+RNR53*$C$53</f>
        <v>6.7454223196919296E+164</v>
      </c>
      <c r="RNT53" s="760">
        <f t="shared" si="232"/>
        <v>6.9477849892826877E+164</v>
      </c>
      <c r="RNU53" s="760">
        <f t="shared" si="232"/>
        <v>7.1562185389611689E+164</v>
      </c>
      <c r="RNV53" s="760">
        <f t="shared" si="232"/>
        <v>7.3709050951300041E+164</v>
      </c>
      <c r="RNW53" s="760">
        <f t="shared" si="232"/>
        <v>7.5920322479839045E+164</v>
      </c>
      <c r="RNX53" s="760">
        <f t="shared" si="232"/>
        <v>7.8197932154234219E+164</v>
      </c>
      <c r="RNY53" s="760">
        <f t="shared" si="232"/>
        <v>8.0543870118861243E+164</v>
      </c>
      <c r="RNZ53" s="760">
        <f t="shared" si="232"/>
        <v>8.2960186222427085E+164</v>
      </c>
      <c r="ROA53" s="760">
        <f t="shared" si="232"/>
        <v>8.54489918090999E+164</v>
      </c>
      <c r="ROB53" s="760">
        <f t="shared" si="232"/>
        <v>8.8012461563372895E+164</v>
      </c>
      <c r="ROC53" s="760">
        <f t="shared" si="232"/>
        <v>9.0652835410274085E+164</v>
      </c>
      <c r="ROD53" s="760">
        <f t="shared" si="232"/>
        <v>9.3372420472582305E+164</v>
      </c>
      <c r="ROE53" s="760">
        <f t="shared" si="232"/>
        <v>9.6173593086759774E+164</v>
      </c>
      <c r="ROF53" s="760">
        <f t="shared" si="232"/>
        <v>9.9058800879362564E+164</v>
      </c>
      <c r="ROG53" s="760">
        <f t="shared" si="232"/>
        <v>1.0203056490574344E+165</v>
      </c>
      <c r="ROH53" s="760">
        <f t="shared" si="232"/>
        <v>1.0509148185291575E+165</v>
      </c>
      <c r="ROI53" s="760">
        <f t="shared" si="232"/>
        <v>1.0824422630850322E+165</v>
      </c>
      <c r="ROJ53" s="760">
        <f t="shared" si="232"/>
        <v>1.1149155309775832E+165</v>
      </c>
      <c r="ROK53" s="760">
        <f t="shared" si="232"/>
        <v>1.1483629969069107E+165</v>
      </c>
      <c r="ROL53" s="760">
        <f t="shared" si="232"/>
        <v>1.1828138868141181E+165</v>
      </c>
      <c r="ROM53" s="760">
        <f t="shared" si="232"/>
        <v>1.2182983034185416E+165</v>
      </c>
      <c r="RON53" s="760">
        <f t="shared" si="232"/>
        <v>1.254847252521098E+165</v>
      </c>
      <c r="ROO53" s="760">
        <f t="shared" si="232"/>
        <v>1.2924926700967309E+165</v>
      </c>
      <c r="ROP53" s="760">
        <f t="shared" si="232"/>
        <v>1.3312674501996329E+165</v>
      </c>
      <c r="ROQ53" s="760">
        <f t="shared" si="232"/>
        <v>1.371205473705622E+165</v>
      </c>
      <c r="ROR53" s="760">
        <f t="shared" si="232"/>
        <v>1.4123416379167906E+165</v>
      </c>
      <c r="ROS53" s="760">
        <f t="shared" si="232"/>
        <v>1.4547118870542944E+165</v>
      </c>
      <c r="ROT53" s="760">
        <f t="shared" si="232"/>
        <v>1.4983532436659232E+165</v>
      </c>
      <c r="ROU53" s="760">
        <f t="shared" si="232"/>
        <v>1.543303840975901E+165</v>
      </c>
      <c r="ROV53" s="760">
        <f t="shared" si="232"/>
        <v>1.5896029562051781E+165</v>
      </c>
      <c r="ROW53" s="760">
        <f t="shared" si="232"/>
        <v>1.6372910448913334E+165</v>
      </c>
      <c r="ROX53" s="760">
        <f t="shared" si="232"/>
        <v>1.6864097762380736E+165</v>
      </c>
      <c r="ROY53" s="760">
        <f t="shared" si="232"/>
        <v>1.7370020695252157E+165</v>
      </c>
      <c r="ROZ53" s="760">
        <f t="shared" si="232"/>
        <v>1.7891121316109721E+165</v>
      </c>
      <c r="RPA53" s="760">
        <f t="shared" si="232"/>
        <v>1.8427854955593013E+165</v>
      </c>
      <c r="RPB53" s="760">
        <f t="shared" si="232"/>
        <v>1.8980690604260803E+165</v>
      </c>
      <c r="RPC53" s="760">
        <f t="shared" si="232"/>
        <v>1.9550111322388628E+165</v>
      </c>
      <c r="RPD53" s="760">
        <f t="shared" si="232"/>
        <v>2.0136614662060287E+165</v>
      </c>
      <c r="RPE53" s="760">
        <f t="shared" si="232"/>
        <v>2.0740713101922098E+165</v>
      </c>
      <c r="RPF53" s="760">
        <f t="shared" si="232"/>
        <v>2.1362934494979762E+165</v>
      </c>
      <c r="RPG53" s="760">
        <f t="shared" si="232"/>
        <v>2.2003822529829155E+165</v>
      </c>
      <c r="RPH53" s="760">
        <f t="shared" si="232"/>
        <v>2.2663937205724031E+165</v>
      </c>
      <c r="RPI53" s="760">
        <f t="shared" si="232"/>
        <v>2.3343855321895751E+165</v>
      </c>
      <c r="RPJ53" s="760">
        <f t="shared" si="232"/>
        <v>2.4044170981552626E+165</v>
      </c>
      <c r="RPK53" s="760">
        <f t="shared" si="232"/>
        <v>2.4765496110999205E+165</v>
      </c>
      <c r="RPL53" s="760">
        <f t="shared" si="232"/>
        <v>2.5508460994329182E+165</v>
      </c>
      <c r="RPM53" s="760">
        <f t="shared" si="232"/>
        <v>2.6273714824159057E+165</v>
      </c>
      <c r="RPN53" s="760">
        <f t="shared" si="232"/>
        <v>2.7061926268883828E+165</v>
      </c>
      <c r="RPO53" s="760">
        <f t="shared" si="232"/>
        <v>2.7873784056950343E+165</v>
      </c>
      <c r="RPP53" s="760">
        <f t="shared" si="232"/>
        <v>2.8709997578658855E+165</v>
      </c>
      <c r="RPQ53" s="760">
        <f t="shared" si="232"/>
        <v>2.9571297506018619E+165</v>
      </c>
      <c r="RPR53" s="760">
        <f t="shared" si="232"/>
        <v>3.045843643119918E+165</v>
      </c>
      <c r="RPS53" s="760">
        <f t="shared" si="232"/>
        <v>3.1372189524135157E+165</v>
      </c>
      <c r="RPT53" s="760">
        <f t="shared" si="232"/>
        <v>3.2313355209859214E+165</v>
      </c>
      <c r="RPU53" s="760">
        <f t="shared" si="232"/>
        <v>3.3282755866154991E+165</v>
      </c>
      <c r="RPV53" s="760">
        <f t="shared" si="232"/>
        <v>3.428123854213964E+165</v>
      </c>
      <c r="RPW53" s="760">
        <f t="shared" si="232"/>
        <v>3.5309675698403831E+165</v>
      </c>
      <c r="RPX53" s="760">
        <f t="shared" si="232"/>
        <v>3.6368965969355945E+165</v>
      </c>
      <c r="RPY53" s="760">
        <f t="shared" si="232"/>
        <v>3.7460034948436622E+165</v>
      </c>
      <c r="RPZ53" s="760">
        <f t="shared" si="232"/>
        <v>3.858383599688972E+165</v>
      </c>
      <c r="RQA53" s="760">
        <f t="shared" si="232"/>
        <v>3.974135107679641E+165</v>
      </c>
      <c r="RQB53" s="760">
        <f t="shared" si="232"/>
        <v>4.0933591609100307E+165</v>
      </c>
      <c r="RQC53" s="760">
        <f t="shared" si="232"/>
        <v>4.2161599357373322E+165</v>
      </c>
      <c r="RQD53" s="760">
        <f t="shared" si="232"/>
        <v>4.3426447338094525E+165</v>
      </c>
      <c r="RQE53" s="760">
        <f t="shared" ref="RQE53:RSP53" si="233">+RQD53*$C$53</f>
        <v>4.4729240758237363E+165</v>
      </c>
      <c r="RQF53" s="760">
        <f t="shared" si="233"/>
        <v>4.6071117980984488E+165</v>
      </c>
      <c r="RQG53" s="760">
        <f t="shared" si="233"/>
        <v>4.7453251520414022E+165</v>
      </c>
      <c r="RQH53" s="760">
        <f t="shared" si="233"/>
        <v>4.8876849066026444E+165</v>
      </c>
      <c r="RQI53" s="760">
        <f t="shared" si="233"/>
        <v>5.0343154538007237E+165</v>
      </c>
      <c r="RQJ53" s="760">
        <f t="shared" si="233"/>
        <v>5.1853449174147453E+165</v>
      </c>
      <c r="RQK53" s="760">
        <f t="shared" si="233"/>
        <v>5.3409052649371877E+165</v>
      </c>
      <c r="RQL53" s="760">
        <f t="shared" si="233"/>
        <v>5.5011324228853032E+165</v>
      </c>
      <c r="RQM53" s="760">
        <f t="shared" si="233"/>
        <v>5.6661663955718623E+165</v>
      </c>
      <c r="RQN53" s="760">
        <f t="shared" si="233"/>
        <v>5.8361513874390185E+165</v>
      </c>
      <c r="RQO53" s="760">
        <f t="shared" si="233"/>
        <v>6.0112359290621894E+165</v>
      </c>
      <c r="RQP53" s="760">
        <f t="shared" si="233"/>
        <v>6.1915730069340551E+165</v>
      </c>
      <c r="RQQ53" s="760">
        <f t="shared" si="233"/>
        <v>6.3773201971420766E+165</v>
      </c>
      <c r="RQR53" s="760">
        <f t="shared" si="233"/>
        <v>6.5686398030563392E+165</v>
      </c>
      <c r="RQS53" s="760">
        <f t="shared" si="233"/>
        <v>6.76569899714803E+165</v>
      </c>
      <c r="RQT53" s="760">
        <f t="shared" si="233"/>
        <v>6.968669967062471E+165</v>
      </c>
      <c r="RQU53" s="760">
        <f t="shared" si="233"/>
        <v>7.1777300660743452E+165</v>
      </c>
      <c r="RQV53" s="760">
        <f t="shared" si="233"/>
        <v>7.3930619680565754E+165</v>
      </c>
      <c r="RQW53" s="760">
        <f t="shared" si="233"/>
        <v>7.6148538270982728E+165</v>
      </c>
      <c r="RQX53" s="760">
        <f t="shared" si="233"/>
        <v>7.8432994419112212E+165</v>
      </c>
      <c r="RQY53" s="760">
        <f t="shared" si="233"/>
        <v>8.0785984251685587E+165</v>
      </c>
      <c r="RQZ53" s="760">
        <f t="shared" si="233"/>
        <v>8.3209563779236164E+165</v>
      </c>
      <c r="RRA53" s="760">
        <f t="shared" si="233"/>
        <v>8.5705850692613251E+165</v>
      </c>
      <c r="RRB53" s="760">
        <f t="shared" si="233"/>
        <v>8.8277026213391645E+165</v>
      </c>
      <c r="RRC53" s="760">
        <f t="shared" si="233"/>
        <v>9.0925336999793398E+165</v>
      </c>
      <c r="RRD53" s="760">
        <f t="shared" si="233"/>
        <v>9.3653097109787201E+165</v>
      </c>
      <c r="RRE53" s="760">
        <f t="shared" si="233"/>
        <v>9.6462690023080814E+165</v>
      </c>
      <c r="RRF53" s="760">
        <f t="shared" si="233"/>
        <v>9.9356570723773238E+165</v>
      </c>
      <c r="RRG53" s="760">
        <f t="shared" si="233"/>
        <v>1.0233726784548643E+166</v>
      </c>
      <c r="RRH53" s="760">
        <f t="shared" si="233"/>
        <v>1.0540738588085102E+166</v>
      </c>
      <c r="RRI53" s="760">
        <f t="shared" si="233"/>
        <v>1.0856960745727655E+166</v>
      </c>
      <c r="RRJ53" s="760">
        <f t="shared" si="233"/>
        <v>1.1182669568099485E+166</v>
      </c>
      <c r="RRK53" s="760">
        <f t="shared" si="233"/>
        <v>1.1518149655142469E+166</v>
      </c>
      <c r="RRL53" s="760">
        <f t="shared" si="233"/>
        <v>1.1863694144796743E+166</v>
      </c>
      <c r="RRM53" s="760">
        <f t="shared" si="233"/>
        <v>1.2219604969140646E+166</v>
      </c>
      <c r="RRN53" s="760">
        <f t="shared" si="233"/>
        <v>1.2586193118214867E+166</v>
      </c>
      <c r="RRO53" s="760">
        <f t="shared" si="233"/>
        <v>1.2963778911761314E+166</v>
      </c>
      <c r="RRP53" s="760">
        <f t="shared" si="233"/>
        <v>1.3352692279114153E+166</v>
      </c>
      <c r="RRQ53" s="760">
        <f t="shared" si="233"/>
        <v>1.3753273047487579E+166</v>
      </c>
      <c r="RRR53" s="760">
        <f t="shared" si="233"/>
        <v>1.4165871238912206E+166</v>
      </c>
      <c r="RRS53" s="760">
        <f t="shared" si="233"/>
        <v>1.4590847376079573E+166</v>
      </c>
      <c r="RRT53" s="760">
        <f t="shared" si="233"/>
        <v>1.5028572797361961E+166</v>
      </c>
      <c r="RRU53" s="760">
        <f t="shared" si="233"/>
        <v>1.5479429981282819E+166</v>
      </c>
      <c r="RRV53" s="760">
        <f t="shared" si="233"/>
        <v>1.5943812880721305E+166</v>
      </c>
      <c r="RRW53" s="760">
        <f t="shared" si="233"/>
        <v>1.6422127267142945E+166</v>
      </c>
      <c r="RRX53" s="760">
        <f t="shared" si="233"/>
        <v>1.6914791085157233E+166</v>
      </c>
      <c r="RRY53" s="760">
        <f t="shared" si="233"/>
        <v>1.7422234817711949E+166</v>
      </c>
      <c r="RRZ53" s="760">
        <f t="shared" si="233"/>
        <v>1.794490186224331E+166</v>
      </c>
      <c r="RSA53" s="760">
        <f t="shared" si="233"/>
        <v>1.848324891811061E+166</v>
      </c>
      <c r="RSB53" s="760">
        <f t="shared" si="233"/>
        <v>1.903774638565393E+166</v>
      </c>
      <c r="RSC53" s="760">
        <f t="shared" si="233"/>
        <v>1.9608878777223548E+166</v>
      </c>
      <c r="RSD53" s="760">
        <f t="shared" si="233"/>
        <v>2.0197145140540255E+166</v>
      </c>
      <c r="RSE53" s="760">
        <f t="shared" si="233"/>
        <v>2.0803059494756462E+166</v>
      </c>
      <c r="RSF53" s="760">
        <f t="shared" si="233"/>
        <v>2.1427151279599157E+166</v>
      </c>
      <c r="RSG53" s="760">
        <f t="shared" si="233"/>
        <v>2.2069965817987133E+166</v>
      </c>
      <c r="RSH53" s="760">
        <f t="shared" si="233"/>
        <v>2.2732064792526748E+166</v>
      </c>
      <c r="RSI53" s="760">
        <f t="shared" si="233"/>
        <v>2.341402673630255E+166</v>
      </c>
      <c r="RSJ53" s="760">
        <f t="shared" si="233"/>
        <v>2.4116447538391627E+166</v>
      </c>
      <c r="RSK53" s="760">
        <f t="shared" si="233"/>
        <v>2.4839940964543378E+166</v>
      </c>
      <c r="RSL53" s="760">
        <f t="shared" si="233"/>
        <v>2.5585139193479679E+166</v>
      </c>
      <c r="RSM53" s="760">
        <f t="shared" si="233"/>
        <v>2.6352693369284069E+166</v>
      </c>
      <c r="RSN53" s="760">
        <f t="shared" si="233"/>
        <v>2.7143274170362593E+166</v>
      </c>
      <c r="RSO53" s="760">
        <f t="shared" si="233"/>
        <v>2.7957572395473472E+166</v>
      </c>
      <c r="RSP53" s="760">
        <f t="shared" si="233"/>
        <v>2.8796299567337676E+166</v>
      </c>
      <c r="RSQ53" s="760">
        <f t="shared" ref="RSQ53:RVB53" si="234">+RSP53*$C$53</f>
        <v>2.9660188554357808E+166</v>
      </c>
      <c r="RSR53" s="760">
        <f t="shared" si="234"/>
        <v>3.0549994210988545E+166</v>
      </c>
      <c r="RSS53" s="760">
        <f t="shared" si="234"/>
        <v>3.1466494037318201E+166</v>
      </c>
      <c r="RST53" s="760">
        <f t="shared" si="234"/>
        <v>3.2410488858437745E+166</v>
      </c>
      <c r="RSU53" s="760">
        <f t="shared" si="234"/>
        <v>3.3382803524190882E+166</v>
      </c>
      <c r="RSV53" s="760">
        <f t="shared" si="234"/>
        <v>3.4384287629916607E+166</v>
      </c>
      <c r="RSW53" s="760">
        <f t="shared" si="234"/>
        <v>3.5415816258814106E+166</v>
      </c>
      <c r="RSX53" s="760">
        <f t="shared" si="234"/>
        <v>3.6478290746578532E+166</v>
      </c>
      <c r="RSY53" s="760">
        <f t="shared" si="234"/>
        <v>3.7572639468975889E+166</v>
      </c>
      <c r="RSZ53" s="760">
        <f t="shared" si="234"/>
        <v>3.869981865304517E+166</v>
      </c>
      <c r="RTA53" s="760">
        <f t="shared" si="234"/>
        <v>3.9860813212636525E+166</v>
      </c>
      <c r="RTB53" s="760">
        <f t="shared" si="234"/>
        <v>4.1056637609015619E+166</v>
      </c>
      <c r="RTC53" s="760">
        <f t="shared" si="234"/>
        <v>4.2288336737286088E+166</v>
      </c>
      <c r="RTD53" s="760">
        <f t="shared" si="234"/>
        <v>4.3556986839404669E+166</v>
      </c>
      <c r="RTE53" s="760">
        <f t="shared" si="234"/>
        <v>4.4863696444586812E+166</v>
      </c>
      <c r="RTF53" s="760">
        <f t="shared" si="234"/>
        <v>4.6209607337924415E+166</v>
      </c>
      <c r="RTG53" s="760">
        <f t="shared" si="234"/>
        <v>4.7595895558062146E+166</v>
      </c>
      <c r="RTH53" s="760">
        <f t="shared" si="234"/>
        <v>4.902377242480401E+166</v>
      </c>
      <c r="RTI53" s="760">
        <f t="shared" si="234"/>
        <v>5.0494485597548134E+166</v>
      </c>
      <c r="RTJ53" s="760">
        <f t="shared" si="234"/>
        <v>5.2009320165474576E+166</v>
      </c>
      <c r="RTK53" s="760">
        <f t="shared" si="234"/>
        <v>5.3569599770438818E+166</v>
      </c>
      <c r="RTL53" s="760">
        <f t="shared" si="234"/>
        <v>5.5176687763551986E+166</v>
      </c>
      <c r="RTM53" s="760">
        <f t="shared" si="234"/>
        <v>5.6831988396458546E+166</v>
      </c>
      <c r="RTN53" s="760">
        <f t="shared" si="234"/>
        <v>5.8536948048352301E+166</v>
      </c>
      <c r="RTO53" s="760">
        <f t="shared" si="234"/>
        <v>6.0293056489802877E+166</v>
      </c>
      <c r="RTP53" s="760">
        <f t="shared" si="234"/>
        <v>6.2101848184496963E+166</v>
      </c>
      <c r="RTQ53" s="760">
        <f t="shared" si="234"/>
        <v>6.3964903630031875E+166</v>
      </c>
      <c r="RTR53" s="760">
        <f t="shared" si="234"/>
        <v>6.5883850738932829E+166</v>
      </c>
      <c r="RTS53" s="760">
        <f t="shared" si="234"/>
        <v>6.7860366261100819E+166</v>
      </c>
      <c r="RTT53" s="760">
        <f t="shared" si="234"/>
        <v>6.9896177248933844E+166</v>
      </c>
      <c r="RTU53" s="760">
        <f t="shared" si="234"/>
        <v>7.1993062566401855E+166</v>
      </c>
      <c r="RTV53" s="760">
        <f t="shared" si="234"/>
        <v>7.4152854443393918E+166</v>
      </c>
      <c r="RTW53" s="760">
        <f t="shared" si="234"/>
        <v>7.6377440076695736E+166</v>
      </c>
      <c r="RTX53" s="760">
        <f t="shared" si="234"/>
        <v>7.8668763278996616E+166</v>
      </c>
      <c r="RTY53" s="760">
        <f t="shared" si="234"/>
        <v>8.1028826177366517E+166</v>
      </c>
      <c r="RTZ53" s="760">
        <f t="shared" si="234"/>
        <v>8.3459690962687509E+166</v>
      </c>
      <c r="RUA53" s="760">
        <f t="shared" si="234"/>
        <v>8.5963481691568134E+166</v>
      </c>
      <c r="RUB53" s="760">
        <f t="shared" si="234"/>
        <v>8.8542386142315178E+166</v>
      </c>
      <c r="RUC53" s="760">
        <f t="shared" si="234"/>
        <v>9.1198657726584638E+166</v>
      </c>
      <c r="RUD53" s="760">
        <f t="shared" si="234"/>
        <v>9.3934617458382175E+166</v>
      </c>
      <c r="RUE53" s="760">
        <f t="shared" si="234"/>
        <v>9.6752655982133648E+166</v>
      </c>
      <c r="RUF53" s="760">
        <f t="shared" si="234"/>
        <v>9.9655235661597661E+166</v>
      </c>
      <c r="RUG53" s="760">
        <f t="shared" si="234"/>
        <v>1.0264489273144559E+167</v>
      </c>
      <c r="RUH53" s="760">
        <f t="shared" si="234"/>
        <v>1.0572423951338896E+167</v>
      </c>
      <c r="RUI53" s="760">
        <f t="shared" si="234"/>
        <v>1.0889596669879062E+167</v>
      </c>
      <c r="RUJ53" s="760">
        <f t="shared" si="234"/>
        <v>1.1216284569975434E+167</v>
      </c>
      <c r="RUK53" s="760">
        <f t="shared" si="234"/>
        <v>1.1552773107074697E+167</v>
      </c>
      <c r="RUL53" s="760">
        <f t="shared" si="234"/>
        <v>1.1899356300286938E+167</v>
      </c>
      <c r="RUM53" s="760">
        <f t="shared" si="234"/>
        <v>1.2256336989295547E+167</v>
      </c>
      <c r="RUN53" s="760">
        <f t="shared" si="234"/>
        <v>1.2624027098974414E+167</v>
      </c>
      <c r="RUO53" s="760">
        <f t="shared" si="234"/>
        <v>1.3002747911943646E+167</v>
      </c>
      <c r="RUP53" s="760">
        <f t="shared" si="234"/>
        <v>1.3392830349301955E+167</v>
      </c>
      <c r="RUQ53" s="760">
        <f t="shared" si="234"/>
        <v>1.3794615259781015E+167</v>
      </c>
      <c r="RUR53" s="760">
        <f t="shared" si="234"/>
        <v>1.4208453717574447E+167</v>
      </c>
      <c r="RUS53" s="760">
        <f t="shared" si="234"/>
        <v>1.4634707329101682E+167</v>
      </c>
      <c r="RUT53" s="760">
        <f t="shared" si="234"/>
        <v>1.5073748548974732E+167</v>
      </c>
      <c r="RUU53" s="760">
        <f t="shared" si="234"/>
        <v>1.5525961005443974E+167</v>
      </c>
      <c r="RUV53" s="760">
        <f t="shared" si="234"/>
        <v>1.5991739835607294E+167</v>
      </c>
      <c r="RUW53" s="760">
        <f t="shared" si="234"/>
        <v>1.6471492030675512E+167</v>
      </c>
      <c r="RUX53" s="760">
        <f t="shared" si="234"/>
        <v>1.6965636791595777E+167</v>
      </c>
      <c r="RUY53" s="760">
        <f t="shared" si="234"/>
        <v>1.7474605895343651E+167</v>
      </c>
      <c r="RUZ53" s="760">
        <f t="shared" si="234"/>
        <v>1.7998844072203961E+167</v>
      </c>
      <c r="RVA53" s="760">
        <f t="shared" si="234"/>
        <v>1.853880939437008E+167</v>
      </c>
      <c r="RVB53" s="760">
        <f t="shared" si="234"/>
        <v>1.9094973676201183E+167</v>
      </c>
      <c r="RVC53" s="760">
        <f t="shared" ref="RVC53:RXN53" si="235">+RVB53*$C$53</f>
        <v>1.9667822886487218E+167</v>
      </c>
      <c r="RVD53" s="760">
        <f t="shared" si="235"/>
        <v>2.0257857573081836E+167</v>
      </c>
      <c r="RVE53" s="760">
        <f t="shared" si="235"/>
        <v>2.0865593300274293E+167</v>
      </c>
      <c r="RVF53" s="760">
        <f t="shared" si="235"/>
        <v>2.1491561099282521E+167</v>
      </c>
      <c r="RVG53" s="760">
        <f t="shared" si="235"/>
        <v>2.2136307932260997E+167</v>
      </c>
      <c r="RVH53" s="760">
        <f t="shared" si="235"/>
        <v>2.2800397170228826E+167</v>
      </c>
      <c r="RVI53" s="760">
        <f t="shared" si="235"/>
        <v>2.3484409085335692E+167</v>
      </c>
      <c r="RVJ53" s="760">
        <f t="shared" si="235"/>
        <v>2.4188941357895766E+167</v>
      </c>
      <c r="RVK53" s="760">
        <f t="shared" si="235"/>
        <v>2.4914609598632638E+167</v>
      </c>
      <c r="RVL53" s="760">
        <f t="shared" si="235"/>
        <v>2.5662047886591618E+167</v>
      </c>
      <c r="RVM53" s="760">
        <f t="shared" si="235"/>
        <v>2.6431909323189368E+167</v>
      </c>
      <c r="RVN53" s="760">
        <f t="shared" si="235"/>
        <v>2.7224866602885049E+167</v>
      </c>
      <c r="RVO53" s="760">
        <f t="shared" si="235"/>
        <v>2.8041612600971603E+167</v>
      </c>
      <c r="RVP53" s="760">
        <f t="shared" si="235"/>
        <v>2.888286097900075E+167</v>
      </c>
      <c r="RVQ53" s="760">
        <f t="shared" si="235"/>
        <v>2.9749346808370774E+167</v>
      </c>
      <c r="RVR53" s="760">
        <f t="shared" si="235"/>
        <v>3.0641827212621898E+167</v>
      </c>
      <c r="RVS53" s="760">
        <f t="shared" si="235"/>
        <v>3.1561082029000555E+167</v>
      </c>
      <c r="RVT53" s="760">
        <f t="shared" si="235"/>
        <v>3.2507914489870572E+167</v>
      </c>
      <c r="RVU53" s="760">
        <f t="shared" si="235"/>
        <v>3.3483151924566692E+167</v>
      </c>
      <c r="RVV53" s="760">
        <f t="shared" si="235"/>
        <v>3.4487646482303695E+167</v>
      </c>
      <c r="RVW53" s="760">
        <f t="shared" si="235"/>
        <v>3.5522275876772806E+167</v>
      </c>
      <c r="RVX53" s="760">
        <f t="shared" si="235"/>
        <v>3.6587944153075991E+167</v>
      </c>
      <c r="RVY53" s="760">
        <f t="shared" si="235"/>
        <v>3.7685582477668273E+167</v>
      </c>
      <c r="RVZ53" s="760">
        <f t="shared" si="235"/>
        <v>3.881614995199832E+167</v>
      </c>
      <c r="RWA53" s="760">
        <f t="shared" si="235"/>
        <v>3.9980634450558272E+167</v>
      </c>
      <c r="RWB53" s="760">
        <f t="shared" si="235"/>
        <v>4.1180053484075023E+167</v>
      </c>
      <c r="RWC53" s="760">
        <f t="shared" si="235"/>
        <v>4.2415455088597274E+167</v>
      </c>
      <c r="RWD53" s="760">
        <f t="shared" si="235"/>
        <v>4.3687918741255194E+167</v>
      </c>
      <c r="RWE53" s="760">
        <f t="shared" si="235"/>
        <v>4.4998556303492848E+167</v>
      </c>
      <c r="RWF53" s="760">
        <f t="shared" si="235"/>
        <v>4.6348512992597635E+167</v>
      </c>
      <c r="RWG53" s="760">
        <f t="shared" si="235"/>
        <v>4.7738968382375568E+167</v>
      </c>
      <c r="RWH53" s="760">
        <f t="shared" si="235"/>
        <v>4.9171137433846833E+167</v>
      </c>
      <c r="RWI53" s="760">
        <f t="shared" si="235"/>
        <v>5.0646271556862234E+167</v>
      </c>
      <c r="RWJ53" s="760">
        <f t="shared" si="235"/>
        <v>5.2165659703568098E+167</v>
      </c>
      <c r="RWK53" s="760">
        <f t="shared" si="235"/>
        <v>5.3730629494675145E+167</v>
      </c>
      <c r="RWL53" s="760">
        <f t="shared" si="235"/>
        <v>5.5342548379515404E+167</v>
      </c>
      <c r="RWM53" s="760">
        <f t="shared" si="235"/>
        <v>5.7002824830900873E+167</v>
      </c>
      <c r="RWN53" s="760">
        <f t="shared" si="235"/>
        <v>5.8712909575827899E+167</v>
      </c>
      <c r="RWO53" s="760">
        <f t="shared" si="235"/>
        <v>6.0474296863102736E+167</v>
      </c>
      <c r="RWP53" s="760">
        <f t="shared" si="235"/>
        <v>6.2288525768995824E+167</v>
      </c>
      <c r="RWQ53" s="760">
        <f t="shared" si="235"/>
        <v>6.4157181542065698E+167</v>
      </c>
      <c r="RWR53" s="760">
        <f t="shared" si="235"/>
        <v>6.6081896988327672E+167</v>
      </c>
      <c r="RWS53" s="760">
        <f t="shared" si="235"/>
        <v>6.8064353897977503E+167</v>
      </c>
      <c r="RWT53" s="760">
        <f t="shared" si="235"/>
        <v>7.0106284514916831E+167</v>
      </c>
      <c r="RWU53" s="760">
        <f t="shared" si="235"/>
        <v>7.2209473050364343E+167</v>
      </c>
      <c r="RWV53" s="760">
        <f t="shared" si="235"/>
        <v>7.4375757241875275E+167</v>
      </c>
      <c r="RWW53" s="760">
        <f t="shared" si="235"/>
        <v>7.6607029959131535E+167</v>
      </c>
      <c r="RWX53" s="760">
        <f t="shared" si="235"/>
        <v>7.8905240857905484E+167</v>
      </c>
      <c r="RWY53" s="760">
        <f t="shared" si="235"/>
        <v>8.1272398083642651E+167</v>
      </c>
      <c r="RWZ53" s="760">
        <f t="shared" si="235"/>
        <v>8.371057002615193E+167</v>
      </c>
      <c r="RXA53" s="760">
        <f t="shared" si="235"/>
        <v>8.6221887126936489E+167</v>
      </c>
      <c r="RXB53" s="760">
        <f t="shared" si="235"/>
        <v>8.880854374074459E+167</v>
      </c>
      <c r="RXC53" s="760">
        <f t="shared" si="235"/>
        <v>9.1472800052966933E+167</v>
      </c>
      <c r="RXD53" s="760">
        <f t="shared" si="235"/>
        <v>9.4216984054555944E+167</v>
      </c>
      <c r="RXE53" s="760">
        <f t="shared" si="235"/>
        <v>9.7043493576192633E+167</v>
      </c>
      <c r="RXF53" s="760">
        <f t="shared" si="235"/>
        <v>9.9954798383478404E+167</v>
      </c>
      <c r="RXG53" s="760">
        <f t="shared" si="235"/>
        <v>1.0295344233498275E+168</v>
      </c>
      <c r="RXH53" s="760">
        <f t="shared" si="235"/>
        <v>1.0604204560503225E+168</v>
      </c>
      <c r="RXI53" s="760">
        <f t="shared" si="235"/>
        <v>1.0922330697318321E+168</v>
      </c>
      <c r="RXJ53" s="760">
        <f t="shared" si="235"/>
        <v>1.1250000618237872E+168</v>
      </c>
      <c r="RXK53" s="760">
        <f t="shared" si="235"/>
        <v>1.1587500636785009E+168</v>
      </c>
      <c r="RXL53" s="760">
        <f t="shared" si="235"/>
        <v>1.1935125655888561E+168</v>
      </c>
      <c r="RXM53" s="760">
        <f t="shared" si="235"/>
        <v>1.2293179425565218E+168</v>
      </c>
      <c r="RXN53" s="760">
        <f t="shared" si="235"/>
        <v>1.2661974808332174E+168</v>
      </c>
      <c r="RXO53" s="760">
        <f t="shared" ref="RXO53:RZZ53" si="236">+RXN53*$C$53</f>
        <v>1.304183405258214E+168</v>
      </c>
      <c r="RXP53" s="760">
        <f t="shared" si="236"/>
        <v>1.3433089074159604E+168</v>
      </c>
      <c r="RXQ53" s="760">
        <f t="shared" si="236"/>
        <v>1.3836081746384393E+168</v>
      </c>
      <c r="RXR53" s="760">
        <f t="shared" si="236"/>
        <v>1.4251164198775925E+168</v>
      </c>
      <c r="RXS53" s="760">
        <f t="shared" si="236"/>
        <v>1.4678699124739203E+168</v>
      </c>
      <c r="RXT53" s="760">
        <f t="shared" si="236"/>
        <v>1.511906009848138E+168</v>
      </c>
      <c r="RXU53" s="760">
        <f t="shared" si="236"/>
        <v>1.5572631901435822E+168</v>
      </c>
      <c r="RXV53" s="760">
        <f t="shared" si="236"/>
        <v>1.6039810858478897E+168</v>
      </c>
      <c r="RXW53" s="760">
        <f t="shared" si="236"/>
        <v>1.6521005184233265E+168</v>
      </c>
      <c r="RXX53" s="760">
        <f t="shared" si="236"/>
        <v>1.7016635339760264E+168</v>
      </c>
      <c r="RXY53" s="760">
        <f t="shared" si="236"/>
        <v>1.7527134399953073E+168</v>
      </c>
      <c r="RXZ53" s="760">
        <f t="shared" si="236"/>
        <v>1.8052948431951666E+168</v>
      </c>
      <c r="RYA53" s="760">
        <f t="shared" si="236"/>
        <v>1.8594536884910217E+168</v>
      </c>
      <c r="RYB53" s="760">
        <f t="shared" si="236"/>
        <v>1.9152372991457525E+168</v>
      </c>
      <c r="RYC53" s="760">
        <f t="shared" si="236"/>
        <v>1.9726944181201249E+168</v>
      </c>
      <c r="RYD53" s="760">
        <f t="shared" si="236"/>
        <v>2.0318752506637288E+168</v>
      </c>
      <c r="RYE53" s="760">
        <f t="shared" si="236"/>
        <v>2.0928315081836407E+168</v>
      </c>
      <c r="RYF53" s="760">
        <f t="shared" si="236"/>
        <v>2.1556164534291499E+168</v>
      </c>
      <c r="RYG53" s="760">
        <f t="shared" si="236"/>
        <v>2.2202849470320243E+168</v>
      </c>
      <c r="RYH53" s="760">
        <f t="shared" si="236"/>
        <v>2.2868934954429852E+168</v>
      </c>
      <c r="RYI53" s="760">
        <f t="shared" si="236"/>
        <v>2.355500300306275E+168</v>
      </c>
      <c r="RYJ53" s="760">
        <f t="shared" si="236"/>
        <v>2.4261653093154634E+168</v>
      </c>
      <c r="RYK53" s="760">
        <f t="shared" si="236"/>
        <v>2.4989502685949274E+168</v>
      </c>
      <c r="RYL53" s="760">
        <f t="shared" si="236"/>
        <v>2.5739187766527751E+168</v>
      </c>
      <c r="RYM53" s="760">
        <f t="shared" si="236"/>
        <v>2.6511363399523584E+168</v>
      </c>
      <c r="RYN53" s="760">
        <f t="shared" si="236"/>
        <v>2.7306704301509294E+168</v>
      </c>
      <c r="RYO53" s="760">
        <f t="shared" si="236"/>
        <v>2.8125905430554572E+168</v>
      </c>
      <c r="RYP53" s="760">
        <f t="shared" si="236"/>
        <v>2.896968259347121E+168</v>
      </c>
      <c r="RYQ53" s="760">
        <f t="shared" si="236"/>
        <v>2.9838773071275347E+168</v>
      </c>
      <c r="RYR53" s="760">
        <f t="shared" si="236"/>
        <v>3.073393626341361E+168</v>
      </c>
      <c r="RYS53" s="760">
        <f t="shared" si="236"/>
        <v>3.165595435131602E+168</v>
      </c>
      <c r="RYT53" s="760">
        <f t="shared" si="236"/>
        <v>3.2605632981855503E+168</v>
      </c>
      <c r="RYU53" s="760">
        <f t="shared" si="236"/>
        <v>3.3583801971311167E+168</v>
      </c>
      <c r="RYV53" s="760">
        <f t="shared" si="236"/>
        <v>3.4591316030450501E+168</v>
      </c>
      <c r="RYW53" s="760">
        <f t="shared" si="236"/>
        <v>3.5629055511364018E+168</v>
      </c>
      <c r="RYX53" s="760">
        <f t="shared" si="236"/>
        <v>3.6697927176704941E+168</v>
      </c>
      <c r="RYY53" s="760">
        <f t="shared" si="236"/>
        <v>3.7798864992006094E+168</v>
      </c>
      <c r="RYZ53" s="760">
        <f t="shared" si="236"/>
        <v>3.8932830941766277E+168</v>
      </c>
      <c r="RZA53" s="760">
        <f t="shared" si="236"/>
        <v>4.010081587001927E+168</v>
      </c>
      <c r="RZB53" s="760">
        <f t="shared" si="236"/>
        <v>4.130384034611985E+168</v>
      </c>
      <c r="RZC53" s="760">
        <f t="shared" si="236"/>
        <v>4.2542955556503446E+168</v>
      </c>
      <c r="RZD53" s="760">
        <f t="shared" si="236"/>
        <v>4.3819244223198552E+168</v>
      </c>
      <c r="RZE53" s="760">
        <f t="shared" si="236"/>
        <v>4.5133821549894511E+168</v>
      </c>
      <c r="RZF53" s="760">
        <f t="shared" si="236"/>
        <v>4.6487836196391347E+168</v>
      </c>
      <c r="RZG53" s="760">
        <f t="shared" si="236"/>
        <v>4.7882471282283085E+168</v>
      </c>
      <c r="RZH53" s="760">
        <f t="shared" si="236"/>
        <v>4.9318945420751581E+168</v>
      </c>
      <c r="RZI53" s="760">
        <f t="shared" si="236"/>
        <v>5.0798513783374128E+168</v>
      </c>
      <c r="RZJ53" s="760">
        <f t="shared" si="236"/>
        <v>5.2322469196875354E+168</v>
      </c>
      <c r="RZK53" s="760">
        <f t="shared" si="236"/>
        <v>5.3892143272781621E+168</v>
      </c>
      <c r="RZL53" s="760">
        <f t="shared" si="236"/>
        <v>5.550890757096507E+168</v>
      </c>
      <c r="RZM53" s="760">
        <f t="shared" si="236"/>
        <v>5.7174174798094022E+168</v>
      </c>
      <c r="RZN53" s="760">
        <f t="shared" si="236"/>
        <v>5.8889400042036844E+168</v>
      </c>
      <c r="RZO53" s="760">
        <f t="shared" si="236"/>
        <v>6.065608204329795E+168</v>
      </c>
      <c r="RZP53" s="760">
        <f t="shared" si="236"/>
        <v>6.2475764504596886E+168</v>
      </c>
      <c r="RZQ53" s="760">
        <f t="shared" si="236"/>
        <v>6.4350037439734798E+168</v>
      </c>
      <c r="RZR53" s="760">
        <f t="shared" si="236"/>
        <v>6.6280538562926846E+168</v>
      </c>
      <c r="RZS53" s="760">
        <f t="shared" si="236"/>
        <v>6.8268954719814656E+168</v>
      </c>
      <c r="RZT53" s="760">
        <f t="shared" si="236"/>
        <v>7.0317023361409096E+168</v>
      </c>
      <c r="RZU53" s="760">
        <f t="shared" si="236"/>
        <v>7.242653406225137E+168</v>
      </c>
      <c r="RZV53" s="760">
        <f t="shared" si="236"/>
        <v>7.4599330084118917E+168</v>
      </c>
      <c r="RZW53" s="760">
        <f t="shared" si="236"/>
        <v>7.6837309986642494E+168</v>
      </c>
      <c r="RZX53" s="760">
        <f t="shared" si="236"/>
        <v>7.9142429286241773E+168</v>
      </c>
      <c r="RZY53" s="760">
        <f t="shared" si="236"/>
        <v>8.1516702164829023E+168</v>
      </c>
      <c r="RZZ53" s="760">
        <f t="shared" si="236"/>
        <v>8.3962203229773903E+168</v>
      </c>
      <c r="SAA53" s="760">
        <f t="shared" ref="SAA53:SCL53" si="237">+RZZ53*$C$53</f>
        <v>8.6481069326667124E+168</v>
      </c>
      <c r="SAB53" s="760">
        <f t="shared" si="237"/>
        <v>8.9075501406467134E+168</v>
      </c>
      <c r="SAC53" s="760">
        <f t="shared" si="237"/>
        <v>9.1747766448661157E+168</v>
      </c>
      <c r="SAD53" s="760">
        <f t="shared" si="237"/>
        <v>9.4500199442121002E+168</v>
      </c>
      <c r="SAE53" s="760">
        <f t="shared" si="237"/>
        <v>9.7335205425384643E+168</v>
      </c>
      <c r="SAF53" s="760">
        <f t="shared" si="237"/>
        <v>1.0025526158814619E+169</v>
      </c>
      <c r="SAG53" s="760">
        <f t="shared" si="237"/>
        <v>1.0326291943579058E+169</v>
      </c>
      <c r="SAH53" s="760">
        <f t="shared" si="237"/>
        <v>1.0636080701886431E+169</v>
      </c>
      <c r="SAI53" s="760">
        <f t="shared" si="237"/>
        <v>1.0955163122943024E+169</v>
      </c>
      <c r="SAJ53" s="760">
        <f t="shared" si="237"/>
        <v>1.1283818016631314E+169</v>
      </c>
      <c r="SAK53" s="760">
        <f t="shared" si="237"/>
        <v>1.1622332557130254E+169</v>
      </c>
      <c r="SAL53" s="760">
        <f t="shared" si="237"/>
        <v>1.1971002533844161E+169</v>
      </c>
      <c r="SAM53" s="760">
        <f t="shared" si="237"/>
        <v>1.2330132609859486E+169</v>
      </c>
      <c r="SAN53" s="760">
        <f t="shared" si="237"/>
        <v>1.2700036588155271E+169</v>
      </c>
      <c r="SAO53" s="760">
        <f t="shared" si="237"/>
        <v>1.3081037685799929E+169</v>
      </c>
      <c r="SAP53" s="760">
        <f t="shared" si="237"/>
        <v>1.3473468816373927E+169</v>
      </c>
      <c r="SAQ53" s="760">
        <f t="shared" si="237"/>
        <v>1.3877672880865145E+169</v>
      </c>
      <c r="SAR53" s="760">
        <f t="shared" si="237"/>
        <v>1.42940030672911E+169</v>
      </c>
      <c r="SAS53" s="760">
        <f t="shared" si="237"/>
        <v>1.4722823159309833E+169</v>
      </c>
      <c r="SAT53" s="760">
        <f t="shared" si="237"/>
        <v>1.516450785408913E+169</v>
      </c>
      <c r="SAU53" s="760">
        <f t="shared" si="237"/>
        <v>1.5619443089711804E+169</v>
      </c>
      <c r="SAV53" s="760">
        <f t="shared" si="237"/>
        <v>1.608802638240316E+169</v>
      </c>
      <c r="SAW53" s="760">
        <f t="shared" si="237"/>
        <v>1.6570667173875254E+169</v>
      </c>
      <c r="SAX53" s="760">
        <f t="shared" si="237"/>
        <v>1.7067787189091511E+169</v>
      </c>
      <c r="SAY53" s="760">
        <f t="shared" si="237"/>
        <v>1.7579820804764256E+169</v>
      </c>
      <c r="SAZ53" s="760">
        <f t="shared" si="237"/>
        <v>1.8107215428907184E+169</v>
      </c>
      <c r="SBA53" s="760">
        <f t="shared" si="237"/>
        <v>1.8650431891774399E+169</v>
      </c>
      <c r="SBB53" s="760">
        <f t="shared" si="237"/>
        <v>1.9209944848527632E+169</v>
      </c>
      <c r="SBC53" s="760">
        <f t="shared" si="237"/>
        <v>1.9786243193983462E+169</v>
      </c>
      <c r="SBD53" s="760">
        <f t="shared" si="237"/>
        <v>2.0379830489802967E+169</v>
      </c>
      <c r="SBE53" s="760">
        <f t="shared" si="237"/>
        <v>2.0991225404497056E+169</v>
      </c>
      <c r="SBF53" s="760">
        <f t="shared" si="237"/>
        <v>2.1620962166631968E+169</v>
      </c>
      <c r="SBG53" s="760">
        <f t="shared" si="237"/>
        <v>2.2269591031630927E+169</v>
      </c>
      <c r="SBH53" s="760">
        <f t="shared" si="237"/>
        <v>2.2937678762579856E+169</v>
      </c>
      <c r="SBI53" s="760">
        <f t="shared" si="237"/>
        <v>2.3625809125457254E+169</v>
      </c>
      <c r="SBJ53" s="760">
        <f t="shared" si="237"/>
        <v>2.4334583399220971E+169</v>
      </c>
      <c r="SBK53" s="760">
        <f t="shared" si="237"/>
        <v>2.5064620901197601E+169</v>
      </c>
      <c r="SBL53" s="760">
        <f t="shared" si="237"/>
        <v>2.5816559528233529E+169</v>
      </c>
      <c r="SBM53" s="760">
        <f t="shared" si="237"/>
        <v>2.6591056314080536E+169</v>
      </c>
      <c r="SBN53" s="760">
        <f t="shared" si="237"/>
        <v>2.7388788003502954E+169</v>
      </c>
      <c r="SBO53" s="760">
        <f t="shared" si="237"/>
        <v>2.8210451643608045E+169</v>
      </c>
      <c r="SBP53" s="760">
        <f t="shared" si="237"/>
        <v>2.9056765192916287E+169</v>
      </c>
      <c r="SBQ53" s="760">
        <f t="shared" si="237"/>
        <v>2.9928468148703777E+169</v>
      </c>
      <c r="SBR53" s="760">
        <f t="shared" si="237"/>
        <v>3.0826322193164892E+169</v>
      </c>
      <c r="SBS53" s="760">
        <f t="shared" si="237"/>
        <v>3.1751111858959842E+169</v>
      </c>
      <c r="SBT53" s="760">
        <f t="shared" si="237"/>
        <v>3.270364521472864E+169</v>
      </c>
      <c r="SBU53" s="760">
        <f t="shared" si="237"/>
        <v>3.3684754571170501E+169</v>
      </c>
      <c r="SBV53" s="760">
        <f t="shared" si="237"/>
        <v>3.4695297208305616E+169</v>
      </c>
      <c r="SBW53" s="760">
        <f t="shared" si="237"/>
        <v>3.5736156124554787E+169</v>
      </c>
      <c r="SBX53" s="760">
        <f t="shared" si="237"/>
        <v>3.6808240808291431E+169</v>
      </c>
      <c r="SBY53" s="760">
        <f t="shared" si="237"/>
        <v>3.7912488032540178E+169</v>
      </c>
      <c r="SBZ53" s="760">
        <f t="shared" si="237"/>
        <v>3.9049862673516384E+169</v>
      </c>
      <c r="SCA53" s="760">
        <f t="shared" si="237"/>
        <v>4.0221358553721875E+169</v>
      </c>
      <c r="SCB53" s="760">
        <f t="shared" si="237"/>
        <v>4.1427999310333531E+169</v>
      </c>
      <c r="SCC53" s="760">
        <f t="shared" si="237"/>
        <v>4.2670839289643539E+169</v>
      </c>
      <c r="SCD53" s="760">
        <f t="shared" si="237"/>
        <v>4.3950964468332845E+169</v>
      </c>
      <c r="SCE53" s="760">
        <f t="shared" si="237"/>
        <v>4.5269493402382831E+169</v>
      </c>
      <c r="SCF53" s="760">
        <f t="shared" si="237"/>
        <v>4.6627578204454319E+169</v>
      </c>
      <c r="SCG53" s="760">
        <f t="shared" si="237"/>
        <v>4.802640555058795E+169</v>
      </c>
      <c r="SCH53" s="760">
        <f t="shared" si="237"/>
        <v>4.9467197717105589E+169</v>
      </c>
      <c r="SCI53" s="760">
        <f t="shared" si="237"/>
        <v>5.0951213648618761E+169</v>
      </c>
      <c r="SCJ53" s="760">
        <f t="shared" si="237"/>
        <v>5.2479750058077328E+169</v>
      </c>
      <c r="SCK53" s="760">
        <f t="shared" si="237"/>
        <v>5.405414255981965E+169</v>
      </c>
      <c r="SCL53" s="760">
        <f t="shared" si="237"/>
        <v>5.5675766836614244E+169</v>
      </c>
      <c r="SCM53" s="760">
        <f t="shared" ref="SCM53:SEX53" si="238">+SCL53*$C$53</f>
        <v>5.7346039841712675E+169</v>
      </c>
      <c r="SCN53" s="760">
        <f t="shared" si="238"/>
        <v>5.906642103696406E+169</v>
      </c>
      <c r="SCO53" s="760">
        <f t="shared" si="238"/>
        <v>6.0838413668072982E+169</v>
      </c>
      <c r="SCP53" s="760">
        <f t="shared" si="238"/>
        <v>6.2663566078115174E+169</v>
      </c>
      <c r="SCQ53" s="760">
        <f t="shared" si="238"/>
        <v>6.4543473060458635E+169</v>
      </c>
      <c r="SCR53" s="760">
        <f t="shared" si="238"/>
        <v>6.64797772522724E+169</v>
      </c>
      <c r="SCS53" s="760">
        <f t="shared" si="238"/>
        <v>6.8474170569840571E+169</v>
      </c>
      <c r="SCT53" s="760">
        <f t="shared" si="238"/>
        <v>7.0528395686935792E+169</v>
      </c>
      <c r="SCU53" s="760">
        <f t="shared" si="238"/>
        <v>7.2644247557543873E+169</v>
      </c>
      <c r="SCV53" s="760">
        <f t="shared" si="238"/>
        <v>7.4823574984270186E+169</v>
      </c>
      <c r="SCW53" s="760">
        <f t="shared" si="238"/>
        <v>7.7068282233798298E+169</v>
      </c>
      <c r="SCX53" s="760">
        <f t="shared" si="238"/>
        <v>7.9380330700812242E+169</v>
      </c>
      <c r="SCY53" s="760">
        <f t="shared" si="238"/>
        <v>8.1761740621836609E+169</v>
      </c>
      <c r="SCZ53" s="760">
        <f t="shared" si="238"/>
        <v>8.4214592840491705E+169</v>
      </c>
      <c r="SDA53" s="760">
        <f t="shared" si="238"/>
        <v>8.6741030625706454E+169</v>
      </c>
      <c r="SDB53" s="760">
        <f t="shared" si="238"/>
        <v>8.9343261544477643E+169</v>
      </c>
      <c r="SDC53" s="760">
        <f t="shared" si="238"/>
        <v>9.202355939081197E+169</v>
      </c>
      <c r="SDD53" s="760">
        <f t="shared" si="238"/>
        <v>9.4784266172536326E+169</v>
      </c>
      <c r="SDE53" s="760">
        <f t="shared" si="238"/>
        <v>9.7627794157712417E+169</v>
      </c>
      <c r="SDF53" s="760">
        <f t="shared" si="238"/>
        <v>1.0055662798244379E+170</v>
      </c>
      <c r="SDG53" s="760">
        <f t="shared" si="238"/>
        <v>1.035733268219171E+170</v>
      </c>
      <c r="SDH53" s="760">
        <f t="shared" si="238"/>
        <v>1.0668052662657462E+170</v>
      </c>
      <c r="SDI53" s="760">
        <f t="shared" si="238"/>
        <v>1.0988094242537186E+170</v>
      </c>
      <c r="SDJ53" s="760">
        <f t="shared" si="238"/>
        <v>1.1317737069813302E+170</v>
      </c>
      <c r="SDK53" s="760">
        <f t="shared" si="238"/>
        <v>1.1657269181907701E+170</v>
      </c>
      <c r="SDL53" s="760">
        <f t="shared" si="238"/>
        <v>1.2006987257364933E+170</v>
      </c>
      <c r="SDM53" s="760">
        <f t="shared" si="238"/>
        <v>1.2367196875085881E+170</v>
      </c>
      <c r="SDN53" s="760">
        <f t="shared" si="238"/>
        <v>1.2738212781338459E+170</v>
      </c>
      <c r="SDO53" s="760">
        <f t="shared" si="238"/>
        <v>1.3120359164778614E+170</v>
      </c>
      <c r="SDP53" s="760">
        <f t="shared" si="238"/>
        <v>1.3513969939721974E+170</v>
      </c>
      <c r="SDQ53" s="760">
        <f t="shared" si="238"/>
        <v>1.3919389037913635E+170</v>
      </c>
      <c r="SDR53" s="760">
        <f t="shared" si="238"/>
        <v>1.4336970709051045E+170</v>
      </c>
      <c r="SDS53" s="760">
        <f t="shared" si="238"/>
        <v>1.4767079830322578E+170</v>
      </c>
      <c r="SDT53" s="760">
        <f t="shared" si="238"/>
        <v>1.5210092225232255E+170</v>
      </c>
      <c r="SDU53" s="760">
        <f t="shared" si="238"/>
        <v>1.5666394991989223E+170</v>
      </c>
      <c r="SDV53" s="760">
        <f t="shared" si="238"/>
        <v>1.6136386841748899E+170</v>
      </c>
      <c r="SDW53" s="760">
        <f t="shared" si="238"/>
        <v>1.6620478447001365E+170</v>
      </c>
      <c r="SDX53" s="760">
        <f t="shared" si="238"/>
        <v>1.7119092800411406E+170</v>
      </c>
      <c r="SDY53" s="760">
        <f t="shared" si="238"/>
        <v>1.7632665584423748E+170</v>
      </c>
      <c r="SDZ53" s="760">
        <f t="shared" si="238"/>
        <v>1.8161645551956462E+170</v>
      </c>
      <c r="SEA53" s="760">
        <f t="shared" si="238"/>
        <v>1.8706494918515156E+170</v>
      </c>
      <c r="SEB53" s="760">
        <f t="shared" si="238"/>
        <v>1.9267689766070611E+170</v>
      </c>
      <c r="SEC53" s="760">
        <f t="shared" si="238"/>
        <v>1.984572045905273E+170</v>
      </c>
      <c r="SED53" s="760">
        <f t="shared" si="238"/>
        <v>2.0441092072824313E+170</v>
      </c>
      <c r="SEE53" s="760">
        <f t="shared" si="238"/>
        <v>2.1054324835009043E+170</v>
      </c>
      <c r="SEF53" s="760">
        <f t="shared" si="238"/>
        <v>2.1685954580059314E+170</v>
      </c>
      <c r="SEG53" s="760">
        <f t="shared" si="238"/>
        <v>2.2336533217461094E+170</v>
      </c>
      <c r="SEH53" s="760">
        <f t="shared" si="238"/>
        <v>2.3006629213984927E+170</v>
      </c>
      <c r="SEI53" s="760">
        <f t="shared" si="238"/>
        <v>2.3696828090404476E+170</v>
      </c>
      <c r="SEJ53" s="760">
        <f t="shared" si="238"/>
        <v>2.4407732933116612E+170</v>
      </c>
      <c r="SEK53" s="760">
        <f t="shared" si="238"/>
        <v>2.5139964921110109E+170</v>
      </c>
      <c r="SEL53" s="760">
        <f t="shared" si="238"/>
        <v>2.5894163868743413E+170</v>
      </c>
      <c r="SEM53" s="760">
        <f t="shared" si="238"/>
        <v>2.6670988784805714E+170</v>
      </c>
      <c r="SEN53" s="760">
        <f t="shared" si="238"/>
        <v>2.7471118448349884E+170</v>
      </c>
      <c r="SEO53" s="760">
        <f t="shared" si="238"/>
        <v>2.829525200180038E+170</v>
      </c>
      <c r="SEP53" s="760">
        <f t="shared" si="238"/>
        <v>2.9144109561854394E+170</v>
      </c>
      <c r="SEQ53" s="760">
        <f t="shared" si="238"/>
        <v>3.0018432848710026E+170</v>
      </c>
      <c r="SER53" s="760">
        <f t="shared" si="238"/>
        <v>3.0918985834171326E+170</v>
      </c>
      <c r="SES53" s="760">
        <f t="shared" si="238"/>
        <v>3.1846555409196467E+170</v>
      </c>
      <c r="SET53" s="760">
        <f t="shared" si="238"/>
        <v>3.2801952071472363E+170</v>
      </c>
      <c r="SEU53" s="760">
        <f t="shared" si="238"/>
        <v>3.3786010633616537E+170</v>
      </c>
      <c r="SEV53" s="760">
        <f t="shared" si="238"/>
        <v>3.4799590952625032E+170</v>
      </c>
      <c r="SEW53" s="760">
        <f t="shared" si="238"/>
        <v>3.5843578681203782E+170</v>
      </c>
      <c r="SEX53" s="760">
        <f t="shared" si="238"/>
        <v>3.6918886041639895E+170</v>
      </c>
      <c r="SEY53" s="760">
        <f t="shared" ref="SEY53:SHJ53" si="239">+SEX53*$C$53</f>
        <v>3.8026452622889091E+170</v>
      </c>
      <c r="SEZ53" s="760">
        <f t="shared" si="239"/>
        <v>3.9167246201575766E+170</v>
      </c>
      <c r="SFA53" s="760">
        <f t="shared" si="239"/>
        <v>4.0342263587623043E+170</v>
      </c>
      <c r="SFB53" s="760">
        <f t="shared" si="239"/>
        <v>4.1552531495251734E+170</v>
      </c>
      <c r="SFC53" s="760">
        <f t="shared" si="239"/>
        <v>4.2799107440109289E+170</v>
      </c>
      <c r="SFD53" s="760">
        <f t="shared" si="239"/>
        <v>4.4083080663312569E+170</v>
      </c>
      <c r="SFE53" s="760">
        <f t="shared" si="239"/>
        <v>4.5405573083211945E+170</v>
      </c>
      <c r="SFF53" s="760">
        <f t="shared" si="239"/>
        <v>4.6767740275708305E+170</v>
      </c>
      <c r="SFG53" s="760">
        <f t="shared" si="239"/>
        <v>4.8170772483979556E+170</v>
      </c>
      <c r="SFH53" s="760">
        <f t="shared" si="239"/>
        <v>4.9615895658498942E+170</v>
      </c>
      <c r="SFI53" s="760">
        <f t="shared" si="239"/>
        <v>5.1104372528253912E+170</v>
      </c>
      <c r="SFJ53" s="760">
        <f t="shared" si="239"/>
        <v>5.2637503704101536E+170</v>
      </c>
      <c r="SFK53" s="760">
        <f t="shared" si="239"/>
        <v>5.4216628815224584E+170</v>
      </c>
      <c r="SFL53" s="760">
        <f t="shared" si="239"/>
        <v>5.584312767968132E+170</v>
      </c>
      <c r="SFM53" s="760">
        <f t="shared" si="239"/>
        <v>5.7518421510071761E+170</v>
      </c>
      <c r="SFN53" s="760">
        <f t="shared" si="239"/>
        <v>5.9243974155373921E+170</v>
      </c>
      <c r="SFO53" s="760">
        <f t="shared" si="239"/>
        <v>6.1021293380035137E+170</v>
      </c>
      <c r="SFP53" s="760">
        <f t="shared" si="239"/>
        <v>6.2851932181436196E+170</v>
      </c>
      <c r="SFQ53" s="760">
        <f t="shared" si="239"/>
        <v>6.4737490146879287E+170</v>
      </c>
      <c r="SFR53" s="760">
        <f t="shared" si="239"/>
        <v>6.6679614851285663E+170</v>
      </c>
      <c r="SFS53" s="760">
        <f t="shared" si="239"/>
        <v>6.868000329682423E+170</v>
      </c>
      <c r="SFT53" s="760">
        <f t="shared" si="239"/>
        <v>7.074040339572896E+170</v>
      </c>
      <c r="SFU53" s="760">
        <f t="shared" si="239"/>
        <v>7.2862615497600829E+170</v>
      </c>
      <c r="SFV53" s="760">
        <f t="shared" si="239"/>
        <v>7.5048493962528855E+170</v>
      </c>
      <c r="SFW53" s="760">
        <f t="shared" si="239"/>
        <v>7.7299948781404724E+170</v>
      </c>
      <c r="SFX53" s="760">
        <f t="shared" si="239"/>
        <v>7.9618947244846863E+170</v>
      </c>
      <c r="SFY53" s="760">
        <f t="shared" si="239"/>
        <v>8.2007515662192272E+170</v>
      </c>
      <c r="SFZ53" s="760">
        <f t="shared" si="239"/>
        <v>8.4467741132058048E+170</v>
      </c>
      <c r="SGA53" s="760">
        <f t="shared" si="239"/>
        <v>8.7001773366019791E+170</v>
      </c>
      <c r="SGB53" s="760">
        <f t="shared" si="239"/>
        <v>8.9611826567000384E+170</v>
      </c>
      <c r="SGC53" s="760">
        <f t="shared" si="239"/>
        <v>9.2300181364010402E+170</v>
      </c>
      <c r="SGD53" s="760">
        <f t="shared" si="239"/>
        <v>9.5069186804930716E+170</v>
      </c>
      <c r="SGE53" s="760">
        <f t="shared" si="239"/>
        <v>9.7921262409078637E+170</v>
      </c>
      <c r="SGF53" s="760">
        <f t="shared" si="239"/>
        <v>1.00858900281351E+171</v>
      </c>
      <c r="SGG53" s="760">
        <f t="shared" si="239"/>
        <v>1.0388466728979152E+171</v>
      </c>
      <c r="SGH53" s="760">
        <f t="shared" si="239"/>
        <v>1.0700120730848527E+171</v>
      </c>
      <c r="SGI53" s="760">
        <f t="shared" si="239"/>
        <v>1.1021124352773984E+171</v>
      </c>
      <c r="SGJ53" s="760">
        <f t="shared" si="239"/>
        <v>1.1351758083357204E+171</v>
      </c>
      <c r="SGK53" s="760">
        <f t="shared" si="239"/>
        <v>1.1692310825857919E+171</v>
      </c>
      <c r="SGL53" s="760">
        <f t="shared" si="239"/>
        <v>1.2043080150633657E+171</v>
      </c>
      <c r="SGM53" s="760">
        <f t="shared" si="239"/>
        <v>1.2404372555152667E+171</v>
      </c>
      <c r="SGN53" s="760">
        <f t="shared" si="239"/>
        <v>1.2776503731807248E+171</v>
      </c>
      <c r="SGO53" s="760">
        <f t="shared" si="239"/>
        <v>1.3159798843761465E+171</v>
      </c>
      <c r="SGP53" s="760">
        <f t="shared" si="239"/>
        <v>1.355459280907431E+171</v>
      </c>
      <c r="SGQ53" s="760">
        <f t="shared" si="239"/>
        <v>1.396123059334654E+171</v>
      </c>
      <c r="SGR53" s="760">
        <f t="shared" si="239"/>
        <v>1.4380067511146937E+171</v>
      </c>
      <c r="SGS53" s="760">
        <f t="shared" si="239"/>
        <v>1.4811469536481346E+171</v>
      </c>
      <c r="SGT53" s="760">
        <f t="shared" si="239"/>
        <v>1.5255813622575787E+171</v>
      </c>
      <c r="SGU53" s="760">
        <f t="shared" si="239"/>
        <v>1.571348803125306E+171</v>
      </c>
      <c r="SGV53" s="760">
        <f t="shared" si="239"/>
        <v>1.6184892672190652E+171</v>
      </c>
      <c r="SGW53" s="760">
        <f t="shared" si="239"/>
        <v>1.6670439452356372E+171</v>
      </c>
      <c r="SGX53" s="760">
        <f t="shared" si="239"/>
        <v>1.7170552635927063E+171</v>
      </c>
      <c r="SGY53" s="760">
        <f t="shared" si="239"/>
        <v>1.7685669215004875E+171</v>
      </c>
      <c r="SGZ53" s="760">
        <f t="shared" si="239"/>
        <v>1.8216239291455023E+171</v>
      </c>
      <c r="SHA53" s="760">
        <f t="shared" si="239"/>
        <v>1.8762726470198674E+171</v>
      </c>
      <c r="SHB53" s="760">
        <f t="shared" si="239"/>
        <v>1.9325608264304635E+171</v>
      </c>
      <c r="SHC53" s="760">
        <f t="shared" si="239"/>
        <v>1.9905376512233777E+171</v>
      </c>
      <c r="SHD53" s="760">
        <f t="shared" si="239"/>
        <v>2.0502537807600789E+171</v>
      </c>
      <c r="SHE53" s="760">
        <f t="shared" si="239"/>
        <v>2.1117613941828814E+171</v>
      </c>
      <c r="SHF53" s="760">
        <f t="shared" si="239"/>
        <v>2.175114236008368E+171</v>
      </c>
      <c r="SHG53" s="760">
        <f t="shared" si="239"/>
        <v>2.2403676630886192E+171</v>
      </c>
      <c r="SHH53" s="760">
        <f t="shared" si="239"/>
        <v>2.3075786929812777E+171</v>
      </c>
      <c r="SHI53" s="760">
        <f t="shared" si="239"/>
        <v>2.376806053770716E+171</v>
      </c>
      <c r="SHJ53" s="760">
        <f t="shared" si="239"/>
        <v>2.4481102353838376E+171</v>
      </c>
      <c r="SHK53" s="760">
        <f t="shared" ref="SHK53:SJV53" si="240">+SHJ53*$C$53</f>
        <v>2.521553542445353E+171</v>
      </c>
      <c r="SHL53" s="760">
        <f t="shared" si="240"/>
        <v>2.5972001487187136E+171</v>
      </c>
      <c r="SHM53" s="760">
        <f t="shared" si="240"/>
        <v>2.6751161531802751E+171</v>
      </c>
      <c r="SHN53" s="760">
        <f t="shared" si="240"/>
        <v>2.7553696377756834E+171</v>
      </c>
      <c r="SHO53" s="760">
        <f t="shared" si="240"/>
        <v>2.8380307269089538E+171</v>
      </c>
      <c r="SHP53" s="760">
        <f t="shared" si="240"/>
        <v>2.9231716487162226E+171</v>
      </c>
      <c r="SHQ53" s="760">
        <f t="shared" si="240"/>
        <v>3.0108667981777093E+171</v>
      </c>
      <c r="SHR53" s="760">
        <f t="shared" si="240"/>
        <v>3.1011928021230407E+171</v>
      </c>
      <c r="SHS53" s="760">
        <f t="shared" si="240"/>
        <v>3.194228586186732E+171</v>
      </c>
      <c r="SHT53" s="760">
        <f t="shared" si="240"/>
        <v>3.2900554437723339E+171</v>
      </c>
      <c r="SHU53" s="760">
        <f t="shared" si="240"/>
        <v>3.3887571070855042E+171</v>
      </c>
      <c r="SHV53" s="760">
        <f t="shared" si="240"/>
        <v>3.4904198202980694E+171</v>
      </c>
      <c r="SHW53" s="760">
        <f t="shared" si="240"/>
        <v>3.5951324149070117E+171</v>
      </c>
      <c r="SHX53" s="760">
        <f t="shared" si="240"/>
        <v>3.7029863873542221E+171</v>
      </c>
      <c r="SHY53" s="760">
        <f t="shared" si="240"/>
        <v>3.8140759789748489E+171</v>
      </c>
      <c r="SHZ53" s="760">
        <f t="shared" si="240"/>
        <v>3.9284982583440944E+171</v>
      </c>
      <c r="SIA53" s="760">
        <f t="shared" si="240"/>
        <v>4.0463532060944174E+171</v>
      </c>
      <c r="SIB53" s="760">
        <f t="shared" si="240"/>
        <v>4.1677438022772501E+171</v>
      </c>
      <c r="SIC53" s="760">
        <f t="shared" si="240"/>
        <v>4.2927761163455675E+171</v>
      </c>
      <c r="SID53" s="760">
        <f t="shared" si="240"/>
        <v>4.4215593998359345E+171</v>
      </c>
      <c r="SIE53" s="760">
        <f t="shared" si="240"/>
        <v>4.5542061818310126E+171</v>
      </c>
      <c r="SIF53" s="760">
        <f t="shared" si="240"/>
        <v>4.690832367285943E+171</v>
      </c>
      <c r="SIG53" s="760">
        <f t="shared" si="240"/>
        <v>4.8315573383045214E+171</v>
      </c>
      <c r="SIH53" s="760">
        <f t="shared" si="240"/>
        <v>4.976504058453657E+171</v>
      </c>
      <c r="SII53" s="760">
        <f t="shared" si="240"/>
        <v>5.1257991802072668E+171</v>
      </c>
      <c r="SIJ53" s="760">
        <f t="shared" si="240"/>
        <v>5.2795731556134852E+171</v>
      </c>
      <c r="SIK53" s="760">
        <f t="shared" si="240"/>
        <v>5.4379603502818897E+171</v>
      </c>
      <c r="SIL53" s="760">
        <f t="shared" si="240"/>
        <v>5.6010991607903468E+171</v>
      </c>
      <c r="SIM53" s="760">
        <f t="shared" si="240"/>
        <v>5.7691321356140577E+171</v>
      </c>
      <c r="SIN53" s="760">
        <f t="shared" si="240"/>
        <v>5.9422060996824796E+171</v>
      </c>
      <c r="SIO53" s="760">
        <f t="shared" si="240"/>
        <v>6.1204722826729542E+171</v>
      </c>
      <c r="SIP53" s="760">
        <f t="shared" si="240"/>
        <v>6.3040864511531429E+171</v>
      </c>
      <c r="SIQ53" s="760">
        <f t="shared" si="240"/>
        <v>6.4932090446877373E+171</v>
      </c>
      <c r="SIR53" s="760">
        <f t="shared" si="240"/>
        <v>6.6880053160283697E+171</v>
      </c>
      <c r="SIS53" s="760">
        <f t="shared" si="240"/>
        <v>6.8886454755092213E+171</v>
      </c>
      <c r="SIT53" s="760">
        <f t="shared" si="240"/>
        <v>7.0953048397744981E+171</v>
      </c>
      <c r="SIU53" s="760">
        <f t="shared" si="240"/>
        <v>7.3081639849677329E+171</v>
      </c>
      <c r="SIV53" s="760">
        <f t="shared" si="240"/>
        <v>7.5274089045167653E+171</v>
      </c>
      <c r="SIW53" s="760">
        <f t="shared" si="240"/>
        <v>7.7532311716522685E+171</v>
      </c>
      <c r="SIX53" s="760">
        <f t="shared" si="240"/>
        <v>7.9858281068018364E+171</v>
      </c>
      <c r="SIY53" s="760">
        <f t="shared" si="240"/>
        <v>8.2254029500058913E+171</v>
      </c>
      <c r="SIZ53" s="760">
        <f t="shared" si="240"/>
        <v>8.4721650385060677E+171</v>
      </c>
      <c r="SJA53" s="760">
        <f t="shared" si="240"/>
        <v>8.7263299896612506E+171</v>
      </c>
      <c r="SJB53" s="760">
        <f t="shared" si="240"/>
        <v>8.9881198893510887E+171</v>
      </c>
      <c r="SJC53" s="760">
        <f t="shared" si="240"/>
        <v>9.2577634860316209E+171</v>
      </c>
      <c r="SJD53" s="760">
        <f t="shared" si="240"/>
        <v>9.5354963906125696E+171</v>
      </c>
      <c r="SJE53" s="760">
        <f t="shared" si="240"/>
        <v>9.8215612823309476E+171</v>
      </c>
      <c r="SJF53" s="760">
        <f t="shared" si="240"/>
        <v>1.0116208120800877E+172</v>
      </c>
      <c r="SJG53" s="760">
        <f t="shared" si="240"/>
        <v>1.0419694364424904E+172</v>
      </c>
      <c r="SJH53" s="760">
        <f t="shared" si="240"/>
        <v>1.0732285195357652E+172</v>
      </c>
      <c r="SJI53" s="760">
        <f t="shared" si="240"/>
        <v>1.1054253751218382E+172</v>
      </c>
      <c r="SJJ53" s="760">
        <f t="shared" si="240"/>
        <v>1.1385881363754933E+172</v>
      </c>
      <c r="SJK53" s="760">
        <f t="shared" si="240"/>
        <v>1.1727457804667582E+172</v>
      </c>
      <c r="SJL53" s="760">
        <f t="shared" si="240"/>
        <v>1.207928153880761E+172</v>
      </c>
      <c r="SJM53" s="760">
        <f t="shared" si="240"/>
        <v>1.2441659984971838E+172</v>
      </c>
      <c r="SJN53" s="760">
        <f t="shared" si="240"/>
        <v>1.2814909784520994E+172</v>
      </c>
      <c r="SJO53" s="760">
        <f t="shared" si="240"/>
        <v>1.3199357078056624E+172</v>
      </c>
      <c r="SJP53" s="760">
        <f t="shared" si="240"/>
        <v>1.3595337790398323E+172</v>
      </c>
      <c r="SJQ53" s="760">
        <f t="shared" si="240"/>
        <v>1.4003197924110273E+172</v>
      </c>
      <c r="SJR53" s="760">
        <f t="shared" si="240"/>
        <v>1.4423293861833582E+172</v>
      </c>
      <c r="SJS53" s="760">
        <f t="shared" si="240"/>
        <v>1.485599267768859E+172</v>
      </c>
      <c r="SJT53" s="760">
        <f t="shared" si="240"/>
        <v>1.5301672458019248E+172</v>
      </c>
      <c r="SJU53" s="760">
        <f t="shared" si="240"/>
        <v>1.5760722631759826E+172</v>
      </c>
      <c r="SJV53" s="760">
        <f t="shared" si="240"/>
        <v>1.623354431071262E+172</v>
      </c>
      <c r="SJW53" s="760">
        <f t="shared" ref="SJW53:SMH53" si="241">+SJV53*$C$53</f>
        <v>1.6720550640033997E+172</v>
      </c>
      <c r="SJX53" s="760">
        <f t="shared" si="241"/>
        <v>1.7222167159235017E+172</v>
      </c>
      <c r="SJY53" s="760">
        <f t="shared" si="241"/>
        <v>1.7738832174012069E+172</v>
      </c>
      <c r="SJZ53" s="760">
        <f t="shared" si="241"/>
        <v>1.8270997139232432E+172</v>
      </c>
      <c r="SKA53" s="760">
        <f t="shared" si="241"/>
        <v>1.8819127053409404E+172</v>
      </c>
      <c r="SKB53" s="760">
        <f t="shared" si="241"/>
        <v>1.9383700865011688E+172</v>
      </c>
      <c r="SKC53" s="760">
        <f t="shared" si="241"/>
        <v>1.9965211890962039E+172</v>
      </c>
      <c r="SKD53" s="760">
        <f t="shared" si="241"/>
        <v>2.0564168247690901E+172</v>
      </c>
      <c r="SKE53" s="760">
        <f t="shared" si="241"/>
        <v>2.1181093295121629E+172</v>
      </c>
      <c r="SKF53" s="760">
        <f t="shared" si="241"/>
        <v>2.1816526093975278E+172</v>
      </c>
      <c r="SKG53" s="760">
        <f t="shared" si="241"/>
        <v>2.2471021876794539E+172</v>
      </c>
      <c r="SKH53" s="760">
        <f t="shared" si="241"/>
        <v>2.3145152533098377E+172</v>
      </c>
      <c r="SKI53" s="760">
        <f t="shared" si="241"/>
        <v>2.3839507109091328E+172</v>
      </c>
      <c r="SKJ53" s="760">
        <f t="shared" si="241"/>
        <v>2.4554692322364069E+172</v>
      </c>
      <c r="SKK53" s="760">
        <f t="shared" si="241"/>
        <v>2.5291333092034992E+172</v>
      </c>
      <c r="SKL53" s="760">
        <f t="shared" si="241"/>
        <v>2.6050073084796041E+172</v>
      </c>
      <c r="SKM53" s="760">
        <f t="shared" si="241"/>
        <v>2.6831575277339925E+172</v>
      </c>
      <c r="SKN53" s="760">
        <f t="shared" si="241"/>
        <v>2.7636522535660123E+172</v>
      </c>
      <c r="SKO53" s="760">
        <f t="shared" si="241"/>
        <v>2.8465618211729926E+172</v>
      </c>
      <c r="SKP53" s="760">
        <f t="shared" si="241"/>
        <v>2.9319586758081825E+172</v>
      </c>
      <c r="SKQ53" s="760">
        <f t="shared" si="241"/>
        <v>3.0199174360824279E+172</v>
      </c>
      <c r="SKR53" s="760">
        <f t="shared" si="241"/>
        <v>3.1105149591649009E+172</v>
      </c>
      <c r="SKS53" s="760">
        <f t="shared" si="241"/>
        <v>3.2038304079398481E+172</v>
      </c>
      <c r="SKT53" s="760">
        <f t="shared" si="241"/>
        <v>3.2999453201780437E+172</v>
      </c>
      <c r="SKU53" s="760">
        <f t="shared" si="241"/>
        <v>3.3989436797833851E+172</v>
      </c>
      <c r="SKV53" s="760">
        <f t="shared" si="241"/>
        <v>3.5009119901768869E+172</v>
      </c>
      <c r="SKW53" s="760">
        <f t="shared" si="241"/>
        <v>3.6059393498821934E+172</v>
      </c>
      <c r="SKX53" s="760">
        <f t="shared" si="241"/>
        <v>3.7141175303786591E+172</v>
      </c>
      <c r="SKY53" s="760">
        <f t="shared" si="241"/>
        <v>3.8255410562900188E+172</v>
      </c>
      <c r="SKZ53" s="760">
        <f t="shared" si="241"/>
        <v>3.9403072879787195E+172</v>
      </c>
      <c r="SLA53" s="760">
        <f t="shared" si="241"/>
        <v>4.0585165066180815E+172</v>
      </c>
      <c r="SLB53" s="760">
        <f t="shared" si="241"/>
        <v>4.180272001816624E+172</v>
      </c>
      <c r="SLC53" s="760">
        <f t="shared" si="241"/>
        <v>4.305680161871123E+172</v>
      </c>
      <c r="SLD53" s="760">
        <f t="shared" si="241"/>
        <v>4.4348505667272569E+172</v>
      </c>
      <c r="SLE53" s="760">
        <f t="shared" si="241"/>
        <v>4.5678960837290749E+172</v>
      </c>
      <c r="SLF53" s="760">
        <f t="shared" si="241"/>
        <v>4.7049329662409473E+172</v>
      </c>
      <c r="SLG53" s="760">
        <f t="shared" si="241"/>
        <v>4.8460809552281756E+172</v>
      </c>
      <c r="SLH53" s="760">
        <f t="shared" si="241"/>
        <v>4.9914633838850209E+172</v>
      </c>
      <c r="SLI53" s="760">
        <f t="shared" si="241"/>
        <v>5.1412072854015717E+172</v>
      </c>
      <c r="SLJ53" s="760">
        <f t="shared" si="241"/>
        <v>5.2954435039636188E+172</v>
      </c>
      <c r="SLK53" s="760">
        <f t="shared" si="241"/>
        <v>5.4543068090825278E+172</v>
      </c>
      <c r="SLL53" s="760">
        <f t="shared" si="241"/>
        <v>5.617936013355004E+172</v>
      </c>
      <c r="SLM53" s="760">
        <f t="shared" si="241"/>
        <v>5.786474093755654E+172</v>
      </c>
      <c r="SLN53" s="760">
        <f t="shared" si="241"/>
        <v>5.9600683165683236E+172</v>
      </c>
      <c r="SLO53" s="760">
        <f t="shared" si="241"/>
        <v>6.1388703660653735E+172</v>
      </c>
      <c r="SLP53" s="760">
        <f t="shared" si="241"/>
        <v>6.3230364770473348E+172</v>
      </c>
      <c r="SLQ53" s="760">
        <f t="shared" si="241"/>
        <v>6.5127275713587551E+172</v>
      </c>
      <c r="SLR53" s="760">
        <f t="shared" si="241"/>
        <v>6.7081093984995177E+172</v>
      </c>
      <c r="SLS53" s="760">
        <f t="shared" si="241"/>
        <v>6.9093526804545032E+172</v>
      </c>
      <c r="SLT53" s="760">
        <f t="shared" si="241"/>
        <v>7.1166332608681387E+172</v>
      </c>
      <c r="SLU53" s="760">
        <f t="shared" si="241"/>
        <v>7.3301322586941833E+172</v>
      </c>
      <c r="SLV53" s="760">
        <f t="shared" si="241"/>
        <v>7.5500362264550088E+172</v>
      </c>
      <c r="SLW53" s="760">
        <f t="shared" si="241"/>
        <v>7.7765373132486587E+172</v>
      </c>
      <c r="SLX53" s="760">
        <f t="shared" si="241"/>
        <v>8.0098334326461181E+172</v>
      </c>
      <c r="SLY53" s="760">
        <f t="shared" si="241"/>
        <v>8.2501284356255019E+172</v>
      </c>
      <c r="SLZ53" s="760">
        <f t="shared" si="241"/>
        <v>8.4976322886942677E+172</v>
      </c>
      <c r="SMA53" s="760">
        <f t="shared" si="241"/>
        <v>8.7525612573550966E+172</v>
      </c>
      <c r="SMB53" s="760">
        <f t="shared" si="241"/>
        <v>9.0151380950757491E+172</v>
      </c>
      <c r="SMC53" s="760">
        <f t="shared" si="241"/>
        <v>9.2855922379280213E+172</v>
      </c>
      <c r="SMD53" s="760">
        <f t="shared" si="241"/>
        <v>9.5641600050658622E+172</v>
      </c>
      <c r="SME53" s="760">
        <f t="shared" si="241"/>
        <v>9.8510848052178381E+172</v>
      </c>
      <c r="SMF53" s="760">
        <f t="shared" si="241"/>
        <v>1.0146617349374374E+173</v>
      </c>
      <c r="SMG53" s="760">
        <f t="shared" si="241"/>
        <v>1.0451015869855606E+173</v>
      </c>
      <c r="SMH53" s="760">
        <f t="shared" si="241"/>
        <v>1.0764546345951274E+173</v>
      </c>
      <c r="SMI53" s="760">
        <f t="shared" ref="SMI53:SOT53" si="242">+SMH53*$C$53</f>
        <v>1.1087482736329813E+173</v>
      </c>
      <c r="SMJ53" s="760">
        <f t="shared" si="242"/>
        <v>1.1420107218419707E+173</v>
      </c>
      <c r="SMK53" s="760">
        <f t="shared" si="242"/>
        <v>1.1762710434972298E+173</v>
      </c>
      <c r="SML53" s="760">
        <f t="shared" si="242"/>
        <v>1.2115591748021468E+173</v>
      </c>
      <c r="SMM53" s="760">
        <f t="shared" si="242"/>
        <v>1.2479059500462112E+173</v>
      </c>
      <c r="SMN53" s="760">
        <f t="shared" si="242"/>
        <v>1.2853431285475977E+173</v>
      </c>
      <c r="SMO53" s="760">
        <f t="shared" si="242"/>
        <v>1.3239034224040257E+173</v>
      </c>
      <c r="SMP53" s="760">
        <f t="shared" si="242"/>
        <v>1.3636205250761465E+173</v>
      </c>
      <c r="SMQ53" s="760">
        <f t="shared" si="242"/>
        <v>1.4045291408284308E+173</v>
      </c>
      <c r="SMR53" s="760">
        <f t="shared" si="242"/>
        <v>1.4466650150532836E+173</v>
      </c>
      <c r="SMS53" s="760">
        <f t="shared" si="242"/>
        <v>1.4900649655048822E+173</v>
      </c>
      <c r="SMT53" s="760">
        <f t="shared" si="242"/>
        <v>1.5347669144700286E+173</v>
      </c>
      <c r="SMU53" s="760">
        <f t="shared" si="242"/>
        <v>1.5808099219041295E+173</v>
      </c>
      <c r="SMV53" s="760">
        <f t="shared" si="242"/>
        <v>1.6282342195612533E+173</v>
      </c>
      <c r="SMW53" s="760">
        <f t="shared" si="242"/>
        <v>1.6770812461480909E+173</v>
      </c>
      <c r="SMX53" s="760">
        <f t="shared" si="242"/>
        <v>1.7273936835325336E+173</v>
      </c>
      <c r="SMY53" s="760">
        <f t="shared" si="242"/>
        <v>1.7792154940385096E+173</v>
      </c>
      <c r="SMZ53" s="760">
        <f t="shared" si="242"/>
        <v>1.8325919588596648E+173</v>
      </c>
      <c r="SNA53" s="760">
        <f t="shared" si="242"/>
        <v>1.8875697176254548E+173</v>
      </c>
      <c r="SNB53" s="760">
        <f t="shared" si="242"/>
        <v>1.9441968091542184E+173</v>
      </c>
      <c r="SNC53" s="760">
        <f t="shared" si="242"/>
        <v>2.002522713428845E+173</v>
      </c>
      <c r="SND53" s="760">
        <f t="shared" si="242"/>
        <v>2.0625983948317104E+173</v>
      </c>
      <c r="SNE53" s="760">
        <f t="shared" si="242"/>
        <v>2.1244763466766619E+173</v>
      </c>
      <c r="SNF53" s="760">
        <f t="shared" si="242"/>
        <v>2.1882106370769617E+173</v>
      </c>
      <c r="SNG53" s="760">
        <f t="shared" si="242"/>
        <v>2.2538569561892706E+173</v>
      </c>
      <c r="SNH53" s="760">
        <f t="shared" si="242"/>
        <v>2.3214726648749489E+173</v>
      </c>
      <c r="SNI53" s="760">
        <f t="shared" si="242"/>
        <v>2.3911168448211974E+173</v>
      </c>
      <c r="SNJ53" s="760">
        <f t="shared" si="242"/>
        <v>2.4628503501658334E+173</v>
      </c>
      <c r="SNK53" s="760">
        <f t="shared" si="242"/>
        <v>2.5367358606708082E+173</v>
      </c>
      <c r="SNL53" s="760">
        <f t="shared" si="242"/>
        <v>2.6128379364909325E+173</v>
      </c>
      <c r="SNM53" s="760">
        <f t="shared" si="242"/>
        <v>2.6912230745856607E+173</v>
      </c>
      <c r="SNN53" s="760">
        <f t="shared" si="242"/>
        <v>2.7719597668232304E+173</v>
      </c>
      <c r="SNO53" s="760">
        <f t="shared" si="242"/>
        <v>2.8551185598279275E+173</v>
      </c>
      <c r="SNP53" s="760">
        <f t="shared" si="242"/>
        <v>2.9407721166227654E+173</v>
      </c>
      <c r="SNQ53" s="760">
        <f t="shared" si="242"/>
        <v>3.0289952801214484E+173</v>
      </c>
      <c r="SNR53" s="760">
        <f t="shared" si="242"/>
        <v>3.1198651385250917E+173</v>
      </c>
      <c r="SNS53" s="760">
        <f t="shared" si="242"/>
        <v>3.2134610926808444E+173</v>
      </c>
      <c r="SNT53" s="760">
        <f t="shared" si="242"/>
        <v>3.3098649254612698E+173</v>
      </c>
      <c r="SNU53" s="760">
        <f t="shared" si="242"/>
        <v>3.409160873225108E+173</v>
      </c>
      <c r="SNV53" s="760">
        <f t="shared" si="242"/>
        <v>3.5114356994218616E+173</v>
      </c>
      <c r="SNW53" s="760">
        <f t="shared" si="242"/>
        <v>3.6167787704045176E+173</v>
      </c>
      <c r="SNX53" s="760">
        <f t="shared" si="242"/>
        <v>3.7252821335166533E+173</v>
      </c>
      <c r="SNY53" s="760">
        <f t="shared" si="242"/>
        <v>3.8370405975221529E+173</v>
      </c>
      <c r="SNZ53" s="760">
        <f t="shared" si="242"/>
        <v>3.9521518154478175E+173</v>
      </c>
      <c r="SOA53" s="760">
        <f t="shared" si="242"/>
        <v>4.0707163699112524E+173</v>
      </c>
      <c r="SOB53" s="760">
        <f t="shared" si="242"/>
        <v>4.19283786100859E+173</v>
      </c>
      <c r="SOC53" s="760">
        <f t="shared" si="242"/>
        <v>4.3186229968388481E+173</v>
      </c>
      <c r="SOD53" s="760">
        <f t="shared" si="242"/>
        <v>4.4481816867440134E+173</v>
      </c>
      <c r="SOE53" s="760">
        <f t="shared" si="242"/>
        <v>4.581627137346334E+173</v>
      </c>
      <c r="SOF53" s="760">
        <f t="shared" si="242"/>
        <v>4.7190759514667241E+173</v>
      </c>
      <c r="SOG53" s="760">
        <f t="shared" si="242"/>
        <v>4.8606482300107261E+173</v>
      </c>
      <c r="SOH53" s="760">
        <f t="shared" si="242"/>
        <v>5.0064676769110479E+173</v>
      </c>
      <c r="SOI53" s="760">
        <f t="shared" si="242"/>
        <v>5.1566617072183791E+173</v>
      </c>
      <c r="SOJ53" s="760">
        <f t="shared" si="242"/>
        <v>5.3113615584349307E+173</v>
      </c>
      <c r="SOK53" s="760">
        <f t="shared" si="242"/>
        <v>5.4707024051879787E+173</v>
      </c>
      <c r="SOL53" s="760">
        <f t="shared" si="242"/>
        <v>5.6348234773436177E+173</v>
      </c>
      <c r="SOM53" s="760">
        <f t="shared" si="242"/>
        <v>5.8038681816639268E+173</v>
      </c>
      <c r="SON53" s="760">
        <f t="shared" si="242"/>
        <v>5.9779842271138445E+173</v>
      </c>
      <c r="SOO53" s="760">
        <f t="shared" si="242"/>
        <v>6.1573237539272597E+173</v>
      </c>
      <c r="SOP53" s="760">
        <f t="shared" si="242"/>
        <v>6.3420434665450772E+173</v>
      </c>
      <c r="SOQ53" s="760">
        <f t="shared" si="242"/>
        <v>6.5323047705414299E+173</v>
      </c>
      <c r="SOR53" s="760">
        <f t="shared" si="242"/>
        <v>6.728273913657673E+173</v>
      </c>
      <c r="SOS53" s="760">
        <f t="shared" si="242"/>
        <v>6.9301221310674033E+173</v>
      </c>
      <c r="SOT53" s="760">
        <f t="shared" si="242"/>
        <v>7.1380257949994254E+173</v>
      </c>
      <c r="SOU53" s="760">
        <f t="shared" ref="SOU53:SRF53" si="243">+SOT53*$C$53</f>
        <v>7.3521665688494085E+173</v>
      </c>
      <c r="SOV53" s="760">
        <f t="shared" si="243"/>
        <v>7.5727315659148908E+173</v>
      </c>
      <c r="SOW53" s="760">
        <f t="shared" si="243"/>
        <v>7.7999135128923376E+173</v>
      </c>
      <c r="SOX53" s="760">
        <f t="shared" si="243"/>
        <v>8.0339109182791084E+173</v>
      </c>
      <c r="SOY53" s="760">
        <f t="shared" si="243"/>
        <v>8.2749282458274813E+173</v>
      </c>
      <c r="SOZ53" s="760">
        <f t="shared" si="243"/>
        <v>8.523176093202306E+173</v>
      </c>
      <c r="SPA53" s="760">
        <f t="shared" si="243"/>
        <v>8.7788713759983751E+173</v>
      </c>
      <c r="SPB53" s="760">
        <f t="shared" si="243"/>
        <v>9.0422375172783264E+173</v>
      </c>
      <c r="SPC53" s="760">
        <f t="shared" si="243"/>
        <v>9.3135046427966764E+173</v>
      </c>
      <c r="SPD53" s="760">
        <f t="shared" si="243"/>
        <v>9.5929097820805772E+173</v>
      </c>
      <c r="SPE53" s="760">
        <f t="shared" si="243"/>
        <v>9.8806970755429949E+173</v>
      </c>
      <c r="SPF53" s="760">
        <f t="shared" si="243"/>
        <v>1.0177117987809285E+174</v>
      </c>
      <c r="SPG53" s="760">
        <f t="shared" si="243"/>
        <v>1.0482431527443565E+174</v>
      </c>
      <c r="SPH53" s="760">
        <f t="shared" si="243"/>
        <v>1.0796904473266872E+174</v>
      </c>
      <c r="SPI53" s="760">
        <f t="shared" si="243"/>
        <v>1.1120811607464879E+174</v>
      </c>
      <c r="SPJ53" s="760">
        <f t="shared" si="243"/>
        <v>1.1454435955688826E+174</v>
      </c>
      <c r="SPK53" s="760">
        <f t="shared" si="243"/>
        <v>1.1798069034359491E+174</v>
      </c>
      <c r="SPL53" s="760">
        <f t="shared" si="243"/>
        <v>1.2152011105390276E+174</v>
      </c>
      <c r="SPM53" s="760">
        <f t="shared" si="243"/>
        <v>1.2516571438551984E+174</v>
      </c>
      <c r="SPN53" s="760">
        <f t="shared" si="243"/>
        <v>1.2892068581708544E+174</v>
      </c>
      <c r="SPO53" s="760">
        <f t="shared" si="243"/>
        <v>1.3278830639159802E+174</v>
      </c>
      <c r="SPP53" s="760">
        <f t="shared" si="243"/>
        <v>1.3677195558334597E+174</v>
      </c>
      <c r="SPQ53" s="760">
        <f t="shared" si="243"/>
        <v>1.4087511425084635E+174</v>
      </c>
      <c r="SPR53" s="760">
        <f t="shared" si="243"/>
        <v>1.4510136767837176E+174</v>
      </c>
      <c r="SPS53" s="760">
        <f t="shared" si="243"/>
        <v>1.4945440870872291E+174</v>
      </c>
      <c r="SPT53" s="760">
        <f t="shared" si="243"/>
        <v>1.539380409699846E+174</v>
      </c>
      <c r="SPU53" s="760">
        <f t="shared" si="243"/>
        <v>1.5855618219908414E+174</v>
      </c>
      <c r="SPV53" s="760">
        <f t="shared" si="243"/>
        <v>1.6331286766505665E+174</v>
      </c>
      <c r="SPW53" s="760">
        <f t="shared" si="243"/>
        <v>1.6821225369500837E+174</v>
      </c>
      <c r="SPX53" s="760">
        <f t="shared" si="243"/>
        <v>1.7325862130585861E+174</v>
      </c>
      <c r="SPY53" s="760">
        <f t="shared" si="243"/>
        <v>1.7845637994503439E+174</v>
      </c>
      <c r="SPZ53" s="760">
        <f t="shared" si="243"/>
        <v>1.8381007134338543E+174</v>
      </c>
      <c r="SQA53" s="760">
        <f t="shared" si="243"/>
        <v>1.8932437348368701E+174</v>
      </c>
      <c r="SQB53" s="760">
        <f t="shared" si="243"/>
        <v>1.9500410468819761E+174</v>
      </c>
      <c r="SQC53" s="760">
        <f t="shared" si="243"/>
        <v>2.0085422782884356E+174</v>
      </c>
      <c r="SQD53" s="760">
        <f t="shared" si="243"/>
        <v>2.0687985466370885E+174</v>
      </c>
      <c r="SQE53" s="760">
        <f t="shared" si="243"/>
        <v>2.1308625030362012E+174</v>
      </c>
      <c r="SQF53" s="760">
        <f t="shared" si="243"/>
        <v>2.1947883781272874E+174</v>
      </c>
      <c r="SQG53" s="760">
        <f t="shared" si="243"/>
        <v>2.260632029471106E+174</v>
      </c>
      <c r="SQH53" s="760">
        <f t="shared" si="243"/>
        <v>2.3284509903552392E+174</v>
      </c>
      <c r="SQI53" s="760">
        <f t="shared" si="243"/>
        <v>2.3983045200658965E+174</v>
      </c>
      <c r="SQJ53" s="760">
        <f t="shared" si="243"/>
        <v>2.4702536556678735E+174</v>
      </c>
      <c r="SQK53" s="760">
        <f t="shared" si="243"/>
        <v>2.5443612653379098E+174</v>
      </c>
      <c r="SQL53" s="760">
        <f t="shared" si="243"/>
        <v>2.6206921032980471E+174</v>
      </c>
      <c r="SQM53" s="760">
        <f t="shared" si="243"/>
        <v>2.6993128663969883E+174</v>
      </c>
      <c r="SQN53" s="760">
        <f t="shared" si="243"/>
        <v>2.7802922523888979E+174</v>
      </c>
      <c r="SQO53" s="760">
        <f t="shared" si="243"/>
        <v>2.8637010199605651E+174</v>
      </c>
      <c r="SQP53" s="760">
        <f t="shared" si="243"/>
        <v>2.9496120505593821E+174</v>
      </c>
      <c r="SQQ53" s="760">
        <f t="shared" si="243"/>
        <v>3.0381004120761635E+174</v>
      </c>
      <c r="SQR53" s="760">
        <f t="shared" si="243"/>
        <v>3.1292434244384484E+174</v>
      </c>
      <c r="SQS53" s="760">
        <f t="shared" si="243"/>
        <v>3.2231207271716021E+174</v>
      </c>
      <c r="SQT53" s="760">
        <f t="shared" si="243"/>
        <v>3.3198143489867501E+174</v>
      </c>
      <c r="SQU53" s="760">
        <f t="shared" si="243"/>
        <v>3.4194087794563525E+174</v>
      </c>
      <c r="SQV53" s="760">
        <f t="shared" si="243"/>
        <v>3.5219910428400432E+174</v>
      </c>
      <c r="SQW53" s="760">
        <f t="shared" si="243"/>
        <v>3.6276507741252447E+174</v>
      </c>
      <c r="SQX53" s="760">
        <f t="shared" si="243"/>
        <v>3.7364802973490022E+174</v>
      </c>
      <c r="SQY53" s="760">
        <f t="shared" si="243"/>
        <v>3.8485747062694723E+174</v>
      </c>
      <c r="SQZ53" s="760">
        <f t="shared" si="243"/>
        <v>3.9640319474575563E+174</v>
      </c>
      <c r="SRA53" s="760">
        <f t="shared" si="243"/>
        <v>4.0829529058812833E+174</v>
      </c>
      <c r="SRB53" s="760">
        <f t="shared" si="243"/>
        <v>4.2054414930577217E+174</v>
      </c>
      <c r="SRC53" s="760">
        <f t="shared" si="243"/>
        <v>4.3316047378494537E+174</v>
      </c>
      <c r="SRD53" s="760">
        <f t="shared" si="243"/>
        <v>4.4615528799849373E+174</v>
      </c>
      <c r="SRE53" s="760">
        <f t="shared" si="243"/>
        <v>4.5953994663844857E+174</v>
      </c>
      <c r="SRF53" s="760">
        <f t="shared" si="243"/>
        <v>4.7332614503760201E+174</v>
      </c>
      <c r="SRG53" s="760">
        <f t="shared" ref="SRG53:STR53" si="244">+SRF53*$C$53</f>
        <v>4.8752592938873012E+174</v>
      </c>
      <c r="SRH53" s="760">
        <f t="shared" si="244"/>
        <v>5.02151707270392E+174</v>
      </c>
      <c r="SRI53" s="760">
        <f t="shared" si="244"/>
        <v>5.1721625848850377E+174</v>
      </c>
      <c r="SRJ53" s="760">
        <f t="shared" si="244"/>
        <v>5.3273274624315887E+174</v>
      </c>
      <c r="SRK53" s="760">
        <f t="shared" si="244"/>
        <v>5.487147286304537E+174</v>
      </c>
      <c r="SRL53" s="760">
        <f t="shared" si="244"/>
        <v>5.6517617048936735E+174</v>
      </c>
      <c r="SRM53" s="760">
        <f t="shared" si="244"/>
        <v>5.8213145560404835E+174</v>
      </c>
      <c r="SRN53" s="760">
        <f t="shared" si="244"/>
        <v>5.9959539927216979E+174</v>
      </c>
      <c r="SRO53" s="760">
        <f t="shared" si="244"/>
        <v>6.1758326125033492E+174</v>
      </c>
      <c r="SRP53" s="760">
        <f t="shared" si="244"/>
        <v>6.3611075908784501E+174</v>
      </c>
      <c r="SRQ53" s="760">
        <f t="shared" si="244"/>
        <v>6.5519408186048036E+174</v>
      </c>
      <c r="SRR53" s="760">
        <f t="shared" si="244"/>
        <v>6.7484990431629476E+174</v>
      </c>
      <c r="SRS53" s="760">
        <f t="shared" si="244"/>
        <v>6.9509540144578357E+174</v>
      </c>
      <c r="SRT53" s="760">
        <f t="shared" si="244"/>
        <v>7.1594826348915714E+174</v>
      </c>
      <c r="SRU53" s="760">
        <f t="shared" si="244"/>
        <v>7.3742671139383187E+174</v>
      </c>
      <c r="SRV53" s="760">
        <f t="shared" si="244"/>
        <v>7.5954951273564685E+174</v>
      </c>
      <c r="SRW53" s="760">
        <f t="shared" si="244"/>
        <v>7.8233599811771626E+174</v>
      </c>
      <c r="SRX53" s="760">
        <f t="shared" si="244"/>
        <v>8.0580607806124774E+174</v>
      </c>
      <c r="SRY53" s="760">
        <f t="shared" si="244"/>
        <v>8.2998026040308516E+174</v>
      </c>
      <c r="SRZ53" s="760">
        <f t="shared" si="244"/>
        <v>8.548796682151777E+174</v>
      </c>
      <c r="SSA53" s="760">
        <f t="shared" si="244"/>
        <v>8.8052605826163305E+174</v>
      </c>
      <c r="SSB53" s="760">
        <f t="shared" si="244"/>
        <v>9.0694184000948203E+174</v>
      </c>
      <c r="SSC53" s="760">
        <f t="shared" si="244"/>
        <v>9.3415009520976646E+174</v>
      </c>
      <c r="SSD53" s="760">
        <f t="shared" si="244"/>
        <v>9.6217459806605951E+174</v>
      </c>
      <c r="SSE53" s="760">
        <f t="shared" si="244"/>
        <v>9.9103983600804127E+174</v>
      </c>
      <c r="SSF53" s="760">
        <f t="shared" si="244"/>
        <v>1.0207710310882825E+175</v>
      </c>
      <c r="SSG53" s="760">
        <f t="shared" si="244"/>
        <v>1.051394162020931E+175</v>
      </c>
      <c r="SSH53" s="760">
        <f t="shared" si="244"/>
        <v>1.0829359868815589E+175</v>
      </c>
      <c r="SSI53" s="760">
        <f t="shared" si="244"/>
        <v>1.1154240664880057E+175</v>
      </c>
      <c r="SSJ53" s="760">
        <f t="shared" si="244"/>
        <v>1.148886788482646E+175</v>
      </c>
      <c r="SSK53" s="760">
        <f t="shared" si="244"/>
        <v>1.1833533921371254E+175</v>
      </c>
      <c r="SSL53" s="760">
        <f t="shared" si="244"/>
        <v>1.2188539939012391E+175</v>
      </c>
      <c r="SSM53" s="760">
        <f t="shared" si="244"/>
        <v>1.2554196137182764E+175</v>
      </c>
      <c r="SSN53" s="760">
        <f t="shared" si="244"/>
        <v>1.2930822021298246E+175</v>
      </c>
      <c r="SSO53" s="760">
        <f t="shared" si="244"/>
        <v>1.3318746681937194E+175</v>
      </c>
      <c r="SSP53" s="760">
        <f t="shared" si="244"/>
        <v>1.3718309082395311E+175</v>
      </c>
      <c r="SSQ53" s="760">
        <f t="shared" si="244"/>
        <v>1.412985835486717E+175</v>
      </c>
      <c r="SSR53" s="760">
        <f t="shared" si="244"/>
        <v>1.4553754105513186E+175</v>
      </c>
      <c r="SSS53" s="760">
        <f t="shared" si="244"/>
        <v>1.4990366728678582E+175</v>
      </c>
      <c r="SST53" s="760">
        <f t="shared" si="244"/>
        <v>1.5440077730538939E+175</v>
      </c>
      <c r="SSU53" s="760">
        <f t="shared" si="244"/>
        <v>1.5903280062455108E+175</v>
      </c>
      <c r="SSV53" s="760">
        <f t="shared" si="244"/>
        <v>1.638037846432876E+175</v>
      </c>
      <c r="SSW53" s="760">
        <f t="shared" si="244"/>
        <v>1.6871789818258624E+175</v>
      </c>
      <c r="SSX53" s="760">
        <f t="shared" si="244"/>
        <v>1.7377943512806382E+175</v>
      </c>
      <c r="SSY53" s="760">
        <f t="shared" si="244"/>
        <v>1.7899281818190575E+175</v>
      </c>
      <c r="SSZ53" s="760">
        <f t="shared" si="244"/>
        <v>1.8436260272736292E+175</v>
      </c>
      <c r="STA53" s="760">
        <f t="shared" si="244"/>
        <v>1.8989348080918383E+175</v>
      </c>
      <c r="STB53" s="760">
        <f t="shared" si="244"/>
        <v>1.9559028523345936E+175</v>
      </c>
      <c r="STC53" s="760">
        <f t="shared" si="244"/>
        <v>2.0145799379046314E+175</v>
      </c>
      <c r="STD53" s="760">
        <f t="shared" si="244"/>
        <v>2.0750173360417705E+175</v>
      </c>
      <c r="STE53" s="760">
        <f t="shared" si="244"/>
        <v>2.1372678561230238E+175</v>
      </c>
      <c r="STF53" s="760">
        <f t="shared" si="244"/>
        <v>2.2013858918067147E+175</v>
      </c>
      <c r="STG53" s="760">
        <f t="shared" si="244"/>
        <v>2.267427468560916E+175</v>
      </c>
      <c r="STH53" s="760">
        <f t="shared" si="244"/>
        <v>2.3354502926177437E+175</v>
      </c>
      <c r="STI53" s="760">
        <f t="shared" si="244"/>
        <v>2.4055138013962759E+175</v>
      </c>
      <c r="STJ53" s="760">
        <f t="shared" si="244"/>
        <v>2.4776792154381641E+175</v>
      </c>
      <c r="STK53" s="760">
        <f t="shared" si="244"/>
        <v>2.552009591901309E+175</v>
      </c>
      <c r="STL53" s="760">
        <f t="shared" si="244"/>
        <v>2.6285698796583485E+175</v>
      </c>
      <c r="STM53" s="760">
        <f t="shared" si="244"/>
        <v>2.7074269760480991E+175</v>
      </c>
      <c r="STN53" s="760">
        <f t="shared" si="244"/>
        <v>2.788649785329542E+175</v>
      </c>
      <c r="STO53" s="760">
        <f t="shared" si="244"/>
        <v>2.8723092788894285E+175</v>
      </c>
      <c r="STP53" s="760">
        <f t="shared" si="244"/>
        <v>2.9584785572561113E+175</v>
      </c>
      <c r="STQ53" s="760">
        <f t="shared" si="244"/>
        <v>3.0472329139737949E+175</v>
      </c>
      <c r="STR53" s="760">
        <f t="shared" si="244"/>
        <v>3.1386499013930088E+175</v>
      </c>
      <c r="STS53" s="760">
        <f t="shared" ref="STS53:SWD53" si="245">+STR53*$C$53</f>
        <v>3.2328093984347988E+175</v>
      </c>
      <c r="STT53" s="760">
        <f t="shared" si="245"/>
        <v>3.3297936803878428E+175</v>
      </c>
      <c r="STU53" s="760">
        <f t="shared" si="245"/>
        <v>3.429687490799478E+175</v>
      </c>
      <c r="STV53" s="760">
        <f t="shared" si="245"/>
        <v>3.5325781155234624E+175</v>
      </c>
      <c r="STW53" s="760">
        <f t="shared" si="245"/>
        <v>3.6385554589891661E+175</v>
      </c>
      <c r="STX53" s="760">
        <f t="shared" si="245"/>
        <v>3.7477121227588408E+175</v>
      </c>
      <c r="STY53" s="760">
        <f t="shared" si="245"/>
        <v>3.8601434864416058E+175</v>
      </c>
      <c r="STZ53" s="760">
        <f t="shared" si="245"/>
        <v>3.9759477910348544E+175</v>
      </c>
      <c r="SUA53" s="760">
        <f t="shared" si="245"/>
        <v>4.0952262247659001E+175</v>
      </c>
      <c r="SUB53" s="760">
        <f t="shared" si="245"/>
        <v>4.2180830115088773E+175</v>
      </c>
      <c r="SUC53" s="760">
        <f t="shared" si="245"/>
        <v>4.3446255018541438E+175</v>
      </c>
      <c r="SUD53" s="760">
        <f t="shared" si="245"/>
        <v>4.474964266909768E+175</v>
      </c>
      <c r="SUE53" s="760">
        <f t="shared" si="245"/>
        <v>4.6092131949170612E+175</v>
      </c>
      <c r="SUF53" s="760">
        <f t="shared" si="245"/>
        <v>4.7474895907645729E+175</v>
      </c>
      <c r="SUG53" s="760">
        <f t="shared" si="245"/>
        <v>4.8899142784875104E+175</v>
      </c>
      <c r="SUH53" s="760">
        <f t="shared" si="245"/>
        <v>5.0366117068421361E+175</v>
      </c>
      <c r="SUI53" s="760">
        <f t="shared" si="245"/>
        <v>5.1877100580474004E+175</v>
      </c>
      <c r="SUJ53" s="760">
        <f t="shared" si="245"/>
        <v>5.3433413597888226E+175</v>
      </c>
      <c r="SUK53" s="760">
        <f t="shared" si="245"/>
        <v>5.5036416005824873E+175</v>
      </c>
      <c r="SUL53" s="760">
        <f t="shared" si="245"/>
        <v>5.668750848599962E+175</v>
      </c>
      <c r="SUM53" s="760">
        <f t="shared" si="245"/>
        <v>5.8388133740579607E+175</v>
      </c>
      <c r="SUN53" s="760">
        <f t="shared" si="245"/>
        <v>6.0139777752796995E+175</v>
      </c>
      <c r="SUO53" s="760">
        <f t="shared" si="245"/>
        <v>6.1943971085380907E+175</v>
      </c>
      <c r="SUP53" s="760">
        <f t="shared" si="245"/>
        <v>6.3802290217942337E+175</v>
      </c>
      <c r="SUQ53" s="760">
        <f t="shared" si="245"/>
        <v>6.571635892448061E+175</v>
      </c>
      <c r="SUR53" s="760">
        <f t="shared" si="245"/>
        <v>6.7687849692215036E+175</v>
      </c>
      <c r="SUS53" s="760">
        <f t="shared" si="245"/>
        <v>6.9718485182981492E+175</v>
      </c>
      <c r="SUT53" s="760">
        <f t="shared" si="245"/>
        <v>7.1810039738470935E+175</v>
      </c>
      <c r="SUU53" s="760">
        <f t="shared" si="245"/>
        <v>7.3964340930625061E+175</v>
      </c>
      <c r="SUV53" s="760">
        <f t="shared" si="245"/>
        <v>7.6183271158543809E+175</v>
      </c>
      <c r="SUW53" s="760">
        <f t="shared" si="245"/>
        <v>7.846876929330013E+175</v>
      </c>
      <c r="SUX53" s="760">
        <f t="shared" si="245"/>
        <v>8.0822832372099141E+175</v>
      </c>
      <c r="SUY53" s="760">
        <f t="shared" si="245"/>
        <v>8.3247517343262113E+175</v>
      </c>
      <c r="SUZ53" s="760">
        <f t="shared" si="245"/>
        <v>8.574494286355998E+175</v>
      </c>
      <c r="SVA53" s="760">
        <f t="shared" si="245"/>
        <v>8.831729114946678E+175</v>
      </c>
      <c r="SVB53" s="760">
        <f t="shared" si="245"/>
        <v>9.0966809883950793E+175</v>
      </c>
      <c r="SVC53" s="760">
        <f t="shared" si="245"/>
        <v>9.3695814180469325E+175</v>
      </c>
      <c r="SVD53" s="760">
        <f t="shared" si="245"/>
        <v>9.6506688605883412E+175</v>
      </c>
      <c r="SVE53" s="760">
        <f t="shared" si="245"/>
        <v>9.9401889264059916E+175</v>
      </c>
      <c r="SVF53" s="760">
        <f t="shared" si="245"/>
        <v>1.0238394594198172E+176</v>
      </c>
      <c r="SVG53" s="760">
        <f t="shared" si="245"/>
        <v>1.0545546432024117E+176</v>
      </c>
      <c r="SVH53" s="760">
        <f t="shared" si="245"/>
        <v>1.0861912824984841E+176</v>
      </c>
      <c r="SVI53" s="760">
        <f t="shared" si="245"/>
        <v>1.1187770209734387E+176</v>
      </c>
      <c r="SVJ53" s="760">
        <f t="shared" si="245"/>
        <v>1.1523403316026419E+176</v>
      </c>
      <c r="SVK53" s="760">
        <f t="shared" si="245"/>
        <v>1.1869105415507212E+176</v>
      </c>
      <c r="SVL53" s="760">
        <f t="shared" si="245"/>
        <v>1.2225178577972429E+176</v>
      </c>
      <c r="SVM53" s="760">
        <f t="shared" si="245"/>
        <v>1.2591933935311601E+176</v>
      </c>
      <c r="SVN53" s="760">
        <f t="shared" si="245"/>
        <v>1.2969691953370948E+176</v>
      </c>
      <c r="SVO53" s="760">
        <f t="shared" si="245"/>
        <v>1.3358782711972077E+176</v>
      </c>
      <c r="SVP53" s="760">
        <f t="shared" si="245"/>
        <v>1.375954619333124E+176</v>
      </c>
      <c r="SVQ53" s="760">
        <f t="shared" si="245"/>
        <v>1.4172332579131177E+176</v>
      </c>
      <c r="SVR53" s="760">
        <f t="shared" si="245"/>
        <v>1.4597502556505112E+176</v>
      </c>
      <c r="SVS53" s="760">
        <f t="shared" si="245"/>
        <v>1.5035427633200265E+176</v>
      </c>
      <c r="SVT53" s="760">
        <f t="shared" si="245"/>
        <v>1.5486490462196274E+176</v>
      </c>
      <c r="SVU53" s="760">
        <f t="shared" si="245"/>
        <v>1.5951085176062162E+176</v>
      </c>
      <c r="SVV53" s="760">
        <f t="shared" si="245"/>
        <v>1.6429617731344027E+176</v>
      </c>
      <c r="SVW53" s="760">
        <f t="shared" si="245"/>
        <v>1.692250626328435E+176</v>
      </c>
      <c r="SVX53" s="760">
        <f t="shared" si="245"/>
        <v>1.7430181451182879E+176</v>
      </c>
      <c r="SVY53" s="760">
        <f t="shared" si="245"/>
        <v>1.7953086894718367E+176</v>
      </c>
      <c r="SVZ53" s="760">
        <f t="shared" si="245"/>
        <v>1.849167950155992E+176</v>
      </c>
      <c r="SWA53" s="760">
        <f t="shared" si="245"/>
        <v>1.9046429886606719E+176</v>
      </c>
      <c r="SWB53" s="760">
        <f t="shared" si="245"/>
        <v>1.961782278320492E+176</v>
      </c>
      <c r="SWC53" s="760">
        <f t="shared" si="245"/>
        <v>2.0206357466701068E+176</v>
      </c>
      <c r="SWD53" s="760">
        <f t="shared" si="245"/>
        <v>2.08125481907021E+176</v>
      </c>
      <c r="SWE53" s="760">
        <f t="shared" ref="SWE53:SYP53" si="246">+SWD53*$C$53</f>
        <v>2.1436924636423163E+176</v>
      </c>
      <c r="SWF53" s="760">
        <f t="shared" si="246"/>
        <v>2.2080032375515859E+176</v>
      </c>
      <c r="SWG53" s="760">
        <f t="shared" si="246"/>
        <v>2.2742433346781335E+176</v>
      </c>
      <c r="SWH53" s="760">
        <f t="shared" si="246"/>
        <v>2.3424706347184775E+176</v>
      </c>
      <c r="SWI53" s="760">
        <f t="shared" si="246"/>
        <v>2.4127447537600318E+176</v>
      </c>
      <c r="SWJ53" s="760">
        <f t="shared" si="246"/>
        <v>2.4851270963728328E+176</v>
      </c>
      <c r="SWK53" s="760">
        <f t="shared" si="246"/>
        <v>2.5596809092640176E+176</v>
      </c>
      <c r="SWL53" s="760">
        <f t="shared" si="246"/>
        <v>2.6364713365419379E+176</v>
      </c>
      <c r="SWM53" s="760">
        <f t="shared" si="246"/>
        <v>2.715565476638196E+176</v>
      </c>
      <c r="SWN53" s="760">
        <f t="shared" si="246"/>
        <v>2.7970324409373419E+176</v>
      </c>
      <c r="SWO53" s="760">
        <f t="shared" si="246"/>
        <v>2.8809434141654622E+176</v>
      </c>
      <c r="SWP53" s="760">
        <f t="shared" si="246"/>
        <v>2.9673717165904263E+176</v>
      </c>
      <c r="SWQ53" s="760">
        <f t="shared" si="246"/>
        <v>3.056392868088139E+176</v>
      </c>
      <c r="SWR53" s="760">
        <f t="shared" si="246"/>
        <v>3.1480846541307833E+176</v>
      </c>
      <c r="SWS53" s="760">
        <f t="shared" si="246"/>
        <v>3.242527193754707E+176</v>
      </c>
      <c r="SWT53" s="760">
        <f t="shared" si="246"/>
        <v>3.3398030095673484E+176</v>
      </c>
      <c r="SWU53" s="760">
        <f t="shared" si="246"/>
        <v>3.4399970998543688E+176</v>
      </c>
      <c r="SWV53" s="760">
        <f t="shared" si="246"/>
        <v>3.5431970128499998E+176</v>
      </c>
      <c r="SWW53" s="760">
        <f t="shared" si="246"/>
        <v>3.6494929232355001E+176</v>
      </c>
      <c r="SWX53" s="760">
        <f t="shared" si="246"/>
        <v>3.7589777109325651E+176</v>
      </c>
      <c r="SWY53" s="760">
        <f t="shared" si="246"/>
        <v>3.8717470422605421E+176</v>
      </c>
      <c r="SWZ53" s="760">
        <f t="shared" si="246"/>
        <v>3.9878994535283583E+176</v>
      </c>
      <c r="SXA53" s="760">
        <f t="shared" si="246"/>
        <v>4.107536437134209E+176</v>
      </c>
      <c r="SXB53" s="760">
        <f t="shared" si="246"/>
        <v>4.2307625302482354E+176</v>
      </c>
      <c r="SXC53" s="760">
        <f t="shared" si="246"/>
        <v>4.3576854061556828E+176</v>
      </c>
      <c r="SXD53" s="760">
        <f t="shared" si="246"/>
        <v>4.4884159683403536E+176</v>
      </c>
      <c r="SXE53" s="760">
        <f t="shared" si="246"/>
        <v>4.6230684473905646E+176</v>
      </c>
      <c r="SXF53" s="760">
        <f t="shared" si="246"/>
        <v>4.7617605008122818E+176</v>
      </c>
      <c r="SXG53" s="760">
        <f t="shared" si="246"/>
        <v>4.9046133158366504E+176</v>
      </c>
      <c r="SXH53" s="760">
        <f t="shared" si="246"/>
        <v>5.0517517153117503E+176</v>
      </c>
      <c r="SXI53" s="760">
        <f t="shared" si="246"/>
        <v>5.203304266771103E+176</v>
      </c>
      <c r="SXJ53" s="760">
        <f t="shared" si="246"/>
        <v>5.3594033947742361E+176</v>
      </c>
      <c r="SXK53" s="760">
        <f t="shared" si="246"/>
        <v>5.5201854966174637E+176</v>
      </c>
      <c r="SXL53" s="760">
        <f t="shared" si="246"/>
        <v>5.6857910615159874E+176</v>
      </c>
      <c r="SXM53" s="760">
        <f t="shared" si="246"/>
        <v>5.8563647933614676E+176</v>
      </c>
      <c r="SXN53" s="760">
        <f t="shared" si="246"/>
        <v>6.0320557371623118E+176</v>
      </c>
      <c r="SXO53" s="760">
        <f t="shared" si="246"/>
        <v>6.2130174092771809E+176</v>
      </c>
      <c r="SXP53" s="760">
        <f t="shared" si="246"/>
        <v>6.3994079315554969E+176</v>
      </c>
      <c r="SXQ53" s="760">
        <f t="shared" si="246"/>
        <v>6.5913901695021615E+176</v>
      </c>
      <c r="SXR53" s="760">
        <f t="shared" si="246"/>
        <v>6.7891318745872261E+176</v>
      </c>
      <c r="SXS53" s="760">
        <f t="shared" si="246"/>
        <v>6.9928058308248435E+176</v>
      </c>
      <c r="SXT53" s="760">
        <f t="shared" si="246"/>
        <v>7.2025900057495886E+176</v>
      </c>
      <c r="SXU53" s="760">
        <f t="shared" si="246"/>
        <v>7.4186677059220761E+176</v>
      </c>
      <c r="SXV53" s="760">
        <f t="shared" si="246"/>
        <v>7.6412277370997382E+176</v>
      </c>
      <c r="SXW53" s="760">
        <f t="shared" si="246"/>
        <v>7.8704645692127303E+176</v>
      </c>
      <c r="SXX53" s="760">
        <f t="shared" si="246"/>
        <v>8.1065785062891125E+176</v>
      </c>
      <c r="SXY53" s="760">
        <f t="shared" si="246"/>
        <v>8.3497758614777864E+176</v>
      </c>
      <c r="SXZ53" s="760">
        <f t="shared" si="246"/>
        <v>8.6002691373221204E+176</v>
      </c>
      <c r="SYA53" s="760">
        <f t="shared" si="246"/>
        <v>8.8582772114417844E+176</v>
      </c>
      <c r="SYB53" s="760">
        <f t="shared" si="246"/>
        <v>9.1240255277850379E+176</v>
      </c>
      <c r="SYC53" s="760">
        <f t="shared" si="246"/>
        <v>9.3977462936185894E+176</v>
      </c>
      <c r="SYD53" s="760">
        <f t="shared" si="246"/>
        <v>9.6796786824271469E+176</v>
      </c>
      <c r="SYE53" s="760">
        <f t="shared" si="246"/>
        <v>9.9700690428999618E+176</v>
      </c>
      <c r="SYF53" s="760">
        <f t="shared" si="246"/>
        <v>1.0269171114186961E+177</v>
      </c>
      <c r="SYG53" s="760">
        <f t="shared" si="246"/>
        <v>1.057724624761257E+177</v>
      </c>
      <c r="SYH53" s="760">
        <f t="shared" si="246"/>
        <v>1.0894563635040947E+177</v>
      </c>
      <c r="SYI53" s="760">
        <f t="shared" si="246"/>
        <v>1.1221400544092175E+177</v>
      </c>
      <c r="SYJ53" s="760">
        <f t="shared" si="246"/>
        <v>1.155804256041494E+177</v>
      </c>
      <c r="SYK53" s="760">
        <f t="shared" si="246"/>
        <v>1.1904783837227387E+177</v>
      </c>
      <c r="SYL53" s="760">
        <f t="shared" si="246"/>
        <v>1.2261927352344209E+177</v>
      </c>
      <c r="SYM53" s="760">
        <f t="shared" si="246"/>
        <v>1.2629785172914535E+177</v>
      </c>
      <c r="SYN53" s="760">
        <f t="shared" si="246"/>
        <v>1.3008678728101971E+177</v>
      </c>
      <c r="SYO53" s="760">
        <f t="shared" si="246"/>
        <v>1.3398939089945031E+177</v>
      </c>
      <c r="SYP53" s="760">
        <f t="shared" si="246"/>
        <v>1.3800907262643383E+177</v>
      </c>
      <c r="SYQ53" s="760">
        <f t="shared" ref="SYQ53:TBB53" si="247">+SYP53*$C$53</f>
        <v>1.4214934480522686E+177</v>
      </c>
      <c r="SYR53" s="760">
        <f t="shared" si="247"/>
        <v>1.4641382514938368E+177</v>
      </c>
      <c r="SYS53" s="760">
        <f t="shared" si="247"/>
        <v>1.508062399038652E+177</v>
      </c>
      <c r="SYT53" s="760">
        <f t="shared" si="247"/>
        <v>1.5533042710098115E+177</v>
      </c>
      <c r="SYU53" s="760">
        <f t="shared" si="247"/>
        <v>1.5999033991401059E+177</v>
      </c>
      <c r="SYV53" s="760">
        <f t="shared" si="247"/>
        <v>1.647900501114309E+177</v>
      </c>
      <c r="SYW53" s="760">
        <f t="shared" si="247"/>
        <v>1.6973375161477384E+177</v>
      </c>
      <c r="SYX53" s="760">
        <f t="shared" si="247"/>
        <v>1.7482576416321705E+177</v>
      </c>
      <c r="SYY53" s="760">
        <f t="shared" si="247"/>
        <v>1.8007053708811355E+177</v>
      </c>
      <c r="SYZ53" s="760">
        <f t="shared" si="247"/>
        <v>1.8547265320075696E+177</v>
      </c>
      <c r="SZA53" s="760">
        <f t="shared" si="247"/>
        <v>1.9103683279677969E+177</v>
      </c>
      <c r="SZB53" s="760">
        <f t="shared" si="247"/>
        <v>1.9676793778068308E+177</v>
      </c>
      <c r="SZC53" s="760">
        <f t="shared" si="247"/>
        <v>2.0267097591410357E+177</v>
      </c>
      <c r="SZD53" s="760">
        <f t="shared" si="247"/>
        <v>2.0875110519152668E+177</v>
      </c>
      <c r="SZE53" s="760">
        <f t="shared" si="247"/>
        <v>2.1501363834727249E+177</v>
      </c>
      <c r="SZF53" s="760">
        <f t="shared" si="247"/>
        <v>2.2146404749769066E+177</v>
      </c>
      <c r="SZG53" s="760">
        <f t="shared" si="247"/>
        <v>2.2810796892262137E+177</v>
      </c>
      <c r="SZH53" s="760">
        <f t="shared" si="247"/>
        <v>2.3495120799030001E+177</v>
      </c>
      <c r="SZI53" s="760">
        <f t="shared" si="247"/>
        <v>2.41999744230009E+177</v>
      </c>
      <c r="SZJ53" s="760">
        <f t="shared" si="247"/>
        <v>2.4925973655690927E+177</v>
      </c>
      <c r="SZK53" s="760">
        <f t="shared" si="247"/>
        <v>2.5673752865361656E+177</v>
      </c>
      <c r="SZL53" s="760">
        <f t="shared" si="247"/>
        <v>2.6443965451322508E+177</v>
      </c>
      <c r="SZM53" s="760">
        <f t="shared" si="247"/>
        <v>2.7237284414862185E+177</v>
      </c>
      <c r="SZN53" s="760">
        <f t="shared" si="247"/>
        <v>2.8054402947308053E+177</v>
      </c>
      <c r="SZO53" s="760">
        <f t="shared" si="247"/>
        <v>2.8896035035727296E+177</v>
      </c>
      <c r="SZP53" s="760">
        <f t="shared" si="247"/>
        <v>2.9762916086799116E+177</v>
      </c>
      <c r="SZQ53" s="760">
        <f t="shared" si="247"/>
        <v>3.0655803569403091E+177</v>
      </c>
      <c r="SZR53" s="760">
        <f t="shared" si="247"/>
        <v>3.1575477676485185E+177</v>
      </c>
      <c r="SZS53" s="760">
        <f t="shared" si="247"/>
        <v>3.2522742006779743E+177</v>
      </c>
      <c r="SZT53" s="760">
        <f t="shared" si="247"/>
        <v>3.3498424266983137E+177</v>
      </c>
      <c r="SZU53" s="760">
        <f t="shared" si="247"/>
        <v>3.4503376994992631E+177</v>
      </c>
      <c r="SZV53" s="760">
        <f t="shared" si="247"/>
        <v>3.5538478304842409E+177</v>
      </c>
      <c r="SZW53" s="760">
        <f t="shared" si="247"/>
        <v>3.6604632653987681E+177</v>
      </c>
      <c r="SZX53" s="760">
        <f t="shared" si="247"/>
        <v>3.7702771633607312E+177</v>
      </c>
      <c r="SZY53" s="760">
        <f t="shared" si="247"/>
        <v>3.8833854782615534E+177</v>
      </c>
      <c r="SZZ53" s="760">
        <f t="shared" si="247"/>
        <v>3.9998870426094001E+177</v>
      </c>
      <c r="TAA53" s="760">
        <f t="shared" si="247"/>
        <v>4.1198836538876821E+177</v>
      </c>
      <c r="TAB53" s="760">
        <f t="shared" si="247"/>
        <v>4.2434801635043126E+177</v>
      </c>
      <c r="TAC53" s="760">
        <f t="shared" si="247"/>
        <v>4.3707845684094423E+177</v>
      </c>
      <c r="TAD53" s="760">
        <f t="shared" si="247"/>
        <v>4.5019081054617258E+177</v>
      </c>
      <c r="TAE53" s="760">
        <f t="shared" si="247"/>
        <v>4.636965348625578E+177</v>
      </c>
      <c r="TAF53" s="760">
        <f t="shared" si="247"/>
        <v>4.7760743090843458E+177</v>
      </c>
      <c r="TAG53" s="760">
        <f t="shared" si="247"/>
        <v>4.9193565383568763E+177</v>
      </c>
      <c r="TAH53" s="760">
        <f t="shared" si="247"/>
        <v>5.066937234507583E+177</v>
      </c>
      <c r="TAI53" s="760">
        <f t="shared" si="247"/>
        <v>5.2189453515428107E+177</v>
      </c>
      <c r="TAJ53" s="760">
        <f t="shared" si="247"/>
        <v>5.3755137120890952E+177</v>
      </c>
      <c r="TAK53" s="760">
        <f t="shared" si="247"/>
        <v>5.5367791234517683E+177</v>
      </c>
      <c r="TAL53" s="760">
        <f t="shared" si="247"/>
        <v>5.7028824971553213E+177</v>
      </c>
      <c r="TAM53" s="760">
        <f t="shared" si="247"/>
        <v>5.8739689720699815E+177</v>
      </c>
      <c r="TAN53" s="760">
        <f t="shared" si="247"/>
        <v>6.0501880412320807E+177</v>
      </c>
      <c r="TAO53" s="760">
        <f t="shared" si="247"/>
        <v>6.2316936824690432E+177</v>
      </c>
      <c r="TAP53" s="760">
        <f t="shared" si="247"/>
        <v>6.4186444929431143E+177</v>
      </c>
      <c r="TAQ53" s="760">
        <f t="shared" si="247"/>
        <v>6.611203827731408E+177</v>
      </c>
      <c r="TAR53" s="760">
        <f t="shared" si="247"/>
        <v>6.8095399425633508E+177</v>
      </c>
      <c r="TAS53" s="760">
        <f t="shared" si="247"/>
        <v>7.0138261408402513E+177</v>
      </c>
      <c r="TAT53" s="760">
        <f t="shared" si="247"/>
        <v>7.2242409250654595E+177</v>
      </c>
      <c r="TAU53" s="760">
        <f t="shared" si="247"/>
        <v>7.4409681528174239E+177</v>
      </c>
      <c r="TAV53" s="760">
        <f t="shared" si="247"/>
        <v>7.6641971974019464E+177</v>
      </c>
      <c r="TAW53" s="760">
        <f t="shared" si="247"/>
        <v>7.894123113324005E+177</v>
      </c>
      <c r="TAX53" s="760">
        <f t="shared" si="247"/>
        <v>8.1309468067237255E+177</v>
      </c>
      <c r="TAY53" s="760">
        <f t="shared" si="247"/>
        <v>8.3748752109254375E+177</v>
      </c>
      <c r="TAZ53" s="760">
        <f t="shared" si="247"/>
        <v>8.6261214672532015E+177</v>
      </c>
      <c r="TBA53" s="760">
        <f t="shared" si="247"/>
        <v>8.8849051112707979E+177</v>
      </c>
      <c r="TBB53" s="760">
        <f t="shared" si="247"/>
        <v>9.1514522646089221E+177</v>
      </c>
      <c r="TBC53" s="760">
        <f t="shared" ref="TBC53:TDN53" si="248">+TBB53*$C$53</f>
        <v>9.4259958325471901E+177</v>
      </c>
      <c r="TBD53" s="760">
        <f t="shared" si="248"/>
        <v>9.7087757075236056E+177</v>
      </c>
      <c r="TBE53" s="760">
        <f t="shared" si="248"/>
        <v>1.0000038978749314E+178</v>
      </c>
      <c r="TBF53" s="760">
        <f t="shared" si="248"/>
        <v>1.0300040148111794E+178</v>
      </c>
      <c r="TBG53" s="760">
        <f t="shared" si="248"/>
        <v>1.0609041352555148E+178</v>
      </c>
      <c r="TBH53" s="760">
        <f t="shared" si="248"/>
        <v>1.0927312593131802E+178</v>
      </c>
      <c r="TBI53" s="760">
        <f t="shared" si="248"/>
        <v>1.1255131970925757E+178</v>
      </c>
      <c r="TBJ53" s="760">
        <f t="shared" si="248"/>
        <v>1.1592785930053531E+178</v>
      </c>
      <c r="TBK53" s="760">
        <f t="shared" si="248"/>
        <v>1.1940569507955137E+178</v>
      </c>
      <c r="TBL53" s="760">
        <f t="shared" si="248"/>
        <v>1.2298786593193791E+178</v>
      </c>
      <c r="TBM53" s="760">
        <f t="shared" si="248"/>
        <v>1.2667750190989606E+178</v>
      </c>
      <c r="TBN53" s="760">
        <f t="shared" si="248"/>
        <v>1.3047782696719295E+178</v>
      </c>
      <c r="TBO53" s="760">
        <f t="shared" si="248"/>
        <v>1.3439216177620874E+178</v>
      </c>
      <c r="TBP53" s="760">
        <f t="shared" si="248"/>
        <v>1.3842392662949501E+178</v>
      </c>
      <c r="TBQ53" s="760">
        <f t="shared" si="248"/>
        <v>1.4257664442837986E+178</v>
      </c>
      <c r="TBR53" s="760">
        <f t="shared" si="248"/>
        <v>1.4685394376123125E+178</v>
      </c>
      <c r="TBS53" s="760">
        <f t="shared" si="248"/>
        <v>1.512595620740682E+178</v>
      </c>
      <c r="TBT53" s="760">
        <f t="shared" si="248"/>
        <v>1.5579734893629024E+178</v>
      </c>
      <c r="TBU53" s="760">
        <f t="shared" si="248"/>
        <v>1.6047126940437895E+178</v>
      </c>
      <c r="TBV53" s="760">
        <f t="shared" si="248"/>
        <v>1.6528540748651031E+178</v>
      </c>
      <c r="TBW53" s="760">
        <f t="shared" si="248"/>
        <v>1.7024396971110563E+178</v>
      </c>
      <c r="TBX53" s="760">
        <f t="shared" si="248"/>
        <v>1.7535128880243879E+178</v>
      </c>
      <c r="TBY53" s="760">
        <f t="shared" si="248"/>
        <v>1.8061182746651197E+178</v>
      </c>
      <c r="TBZ53" s="760">
        <f t="shared" si="248"/>
        <v>1.8603018229050735E+178</v>
      </c>
      <c r="TCA53" s="760">
        <f t="shared" si="248"/>
        <v>1.9161108775922259E+178</v>
      </c>
      <c r="TCB53" s="760">
        <f t="shared" si="248"/>
        <v>1.9735942039199927E+178</v>
      </c>
      <c r="TCC53" s="760">
        <f t="shared" si="248"/>
        <v>2.0328020300375927E+178</v>
      </c>
      <c r="TCD53" s="760">
        <f t="shared" si="248"/>
        <v>2.0937860909387205E+178</v>
      </c>
      <c r="TCE53" s="760">
        <f t="shared" si="248"/>
        <v>2.1565996736668824E+178</v>
      </c>
      <c r="TCF53" s="760">
        <f t="shared" si="248"/>
        <v>2.2212976638768889E+178</v>
      </c>
      <c r="TCG53" s="760">
        <f t="shared" si="248"/>
        <v>2.2879365937931956E+178</v>
      </c>
      <c r="TCH53" s="760">
        <f t="shared" si="248"/>
        <v>2.3565746916069914E+178</v>
      </c>
      <c r="TCI53" s="760">
        <f t="shared" si="248"/>
        <v>2.4272719323552011E+178</v>
      </c>
      <c r="TCJ53" s="760">
        <f t="shared" si="248"/>
        <v>2.5000900903258572E+178</v>
      </c>
      <c r="TCK53" s="760">
        <f t="shared" si="248"/>
        <v>2.5750927930356331E+178</v>
      </c>
      <c r="TCL53" s="760">
        <f t="shared" si="248"/>
        <v>2.6523455768267021E+178</v>
      </c>
      <c r="TCM53" s="760">
        <f t="shared" si="248"/>
        <v>2.7319159441315032E+178</v>
      </c>
      <c r="TCN53" s="760">
        <f t="shared" si="248"/>
        <v>2.8138734224554482E+178</v>
      </c>
      <c r="TCO53" s="760">
        <f t="shared" si="248"/>
        <v>2.8982896251291117E+178</v>
      </c>
      <c r="TCP53" s="760">
        <f t="shared" si="248"/>
        <v>2.9852383138829853E+178</v>
      </c>
      <c r="TCQ53" s="760">
        <f t="shared" si="248"/>
        <v>3.074795463299475E+178</v>
      </c>
      <c r="TCR53" s="760">
        <f t="shared" si="248"/>
        <v>3.1670393271984594E+178</v>
      </c>
      <c r="TCS53" s="760">
        <f t="shared" si="248"/>
        <v>3.2620505070144132E+178</v>
      </c>
      <c r="TCT53" s="760">
        <f t="shared" si="248"/>
        <v>3.3599120222248457E+178</v>
      </c>
      <c r="TCU53" s="760">
        <f t="shared" si="248"/>
        <v>3.4607093828915911E+178</v>
      </c>
      <c r="TCV53" s="760">
        <f t="shared" si="248"/>
        <v>3.5645306643783392E+178</v>
      </c>
      <c r="TCW53" s="760">
        <f t="shared" si="248"/>
        <v>3.6714665843096896E+178</v>
      </c>
      <c r="TCX53" s="760">
        <f t="shared" si="248"/>
        <v>3.7816105818389806E+178</v>
      </c>
      <c r="TCY53" s="760">
        <f t="shared" si="248"/>
        <v>3.89505889929415E+178</v>
      </c>
      <c r="TCZ53" s="760">
        <f t="shared" si="248"/>
        <v>4.0119106662729749E+178</v>
      </c>
      <c r="TDA53" s="760">
        <f t="shared" si="248"/>
        <v>4.1322679862611643E+178</v>
      </c>
      <c r="TDB53" s="760">
        <f t="shared" si="248"/>
        <v>4.2562360258489993E+178</v>
      </c>
      <c r="TDC53" s="760">
        <f t="shared" si="248"/>
        <v>4.383923106624469E+178</v>
      </c>
      <c r="TDD53" s="760">
        <f t="shared" si="248"/>
        <v>4.5154407998232034E+178</v>
      </c>
      <c r="TDE53" s="760">
        <f t="shared" si="248"/>
        <v>4.6509040238178993E+178</v>
      </c>
      <c r="TDF53" s="760">
        <f t="shared" si="248"/>
        <v>4.7904311445324362E+178</v>
      </c>
      <c r="TDG53" s="760">
        <f t="shared" si="248"/>
        <v>4.9341440788684096E+178</v>
      </c>
      <c r="TDH53" s="760">
        <f t="shared" si="248"/>
        <v>5.0821684012344619E+178</v>
      </c>
      <c r="TDI53" s="760">
        <f t="shared" si="248"/>
        <v>5.2346334532714956E+178</v>
      </c>
      <c r="TDJ53" s="760">
        <f t="shared" si="248"/>
        <v>5.3916724568696406E+178</v>
      </c>
      <c r="TDK53" s="760">
        <f t="shared" si="248"/>
        <v>5.5534226305757297E+178</v>
      </c>
      <c r="TDL53" s="760">
        <f t="shared" si="248"/>
        <v>5.7200253094930016E+178</v>
      </c>
      <c r="TDM53" s="760">
        <f t="shared" si="248"/>
        <v>5.891626068777792E+178</v>
      </c>
      <c r="TDN53" s="760">
        <f t="shared" si="248"/>
        <v>6.0683748508411262E+178</v>
      </c>
      <c r="TDO53" s="760">
        <f t="shared" ref="TDO53:TFZ53" si="249">+TDN53*$C$53</f>
        <v>6.2504260963663604E+178</v>
      </c>
      <c r="TDP53" s="760">
        <f t="shared" si="249"/>
        <v>6.4379388792573516E+178</v>
      </c>
      <c r="TDQ53" s="760">
        <f t="shared" si="249"/>
        <v>6.6310770456350719E+178</v>
      </c>
      <c r="TDR53" s="760">
        <f t="shared" si="249"/>
        <v>6.8300093570041244E+178</v>
      </c>
      <c r="TDS53" s="760">
        <f t="shared" si="249"/>
        <v>7.0349096377142488E+178</v>
      </c>
      <c r="TDT53" s="760">
        <f t="shared" si="249"/>
        <v>7.2459569268456762E+178</v>
      </c>
      <c r="TDU53" s="760">
        <f t="shared" si="249"/>
        <v>7.4633356346510467E+178</v>
      </c>
      <c r="TDV53" s="760">
        <f t="shared" si="249"/>
        <v>7.6872357036905787E+178</v>
      </c>
      <c r="TDW53" s="760">
        <f t="shared" si="249"/>
        <v>7.9178527748012969E+178</v>
      </c>
      <c r="TDX53" s="760">
        <f t="shared" si="249"/>
        <v>8.1553883580453356E+178</v>
      </c>
      <c r="TDY53" s="760">
        <f t="shared" si="249"/>
        <v>8.4000500087866952E+178</v>
      </c>
      <c r="TDZ53" s="760">
        <f t="shared" si="249"/>
        <v>8.6520515090502961E+178</v>
      </c>
      <c r="TEA53" s="760">
        <f t="shared" si="249"/>
        <v>8.9116130543218057E+178</v>
      </c>
      <c r="TEB53" s="760">
        <f t="shared" si="249"/>
        <v>9.1789614459514602E+178</v>
      </c>
      <c r="TEC53" s="760">
        <f t="shared" si="249"/>
        <v>9.4543302893300043E+178</v>
      </c>
      <c r="TED53" s="760">
        <f t="shared" si="249"/>
        <v>9.7379601980099041E+178</v>
      </c>
      <c r="TEE53" s="760">
        <f t="shared" si="249"/>
        <v>1.0030099003950202E+179</v>
      </c>
      <c r="TEF53" s="760">
        <f t="shared" si="249"/>
        <v>1.0331001974068708E+179</v>
      </c>
      <c r="TEG53" s="760">
        <f t="shared" si="249"/>
        <v>1.064093203329077E+179</v>
      </c>
      <c r="TEH53" s="760">
        <f t="shared" si="249"/>
        <v>1.0960159994289493E+179</v>
      </c>
      <c r="TEI53" s="760">
        <f t="shared" si="249"/>
        <v>1.1288964794118178E+179</v>
      </c>
      <c r="TEJ53" s="760">
        <f t="shared" si="249"/>
        <v>1.1627633737941724E+179</v>
      </c>
      <c r="TEK53" s="760">
        <f t="shared" si="249"/>
        <v>1.1976462750079975E+179</v>
      </c>
      <c r="TEL53" s="760">
        <f t="shared" si="249"/>
        <v>1.2335756632582375E+179</v>
      </c>
      <c r="TEM53" s="760">
        <f t="shared" si="249"/>
        <v>1.2705829331559846E+179</v>
      </c>
      <c r="TEN53" s="760">
        <f t="shared" si="249"/>
        <v>1.3087004211506641E+179</v>
      </c>
      <c r="TEO53" s="760">
        <f t="shared" si="249"/>
        <v>1.3479614337851841E+179</v>
      </c>
      <c r="TEP53" s="760">
        <f t="shared" si="249"/>
        <v>1.3884002767987397E+179</v>
      </c>
      <c r="TEQ53" s="760">
        <f t="shared" si="249"/>
        <v>1.4300522851027018E+179</v>
      </c>
      <c r="TER53" s="760">
        <f t="shared" si="249"/>
        <v>1.4729538536557829E+179</v>
      </c>
      <c r="TES53" s="760">
        <f t="shared" si="249"/>
        <v>1.5171424692654564E+179</v>
      </c>
      <c r="TET53" s="760">
        <f t="shared" si="249"/>
        <v>1.5626567433434201E+179</v>
      </c>
      <c r="TEU53" s="760">
        <f t="shared" si="249"/>
        <v>1.6095364456437226E+179</v>
      </c>
      <c r="TEV53" s="760">
        <f t="shared" si="249"/>
        <v>1.6578225390130344E+179</v>
      </c>
      <c r="TEW53" s="760">
        <f t="shared" si="249"/>
        <v>1.7075572151834256E+179</v>
      </c>
      <c r="TEX53" s="760">
        <f t="shared" si="249"/>
        <v>1.7587839316389285E+179</v>
      </c>
      <c r="TEY53" s="760">
        <f t="shared" si="249"/>
        <v>1.8115474495880963E+179</v>
      </c>
      <c r="TEZ53" s="760">
        <f t="shared" si="249"/>
        <v>1.8658938730757392E+179</v>
      </c>
      <c r="TFA53" s="760">
        <f t="shared" si="249"/>
        <v>1.9218706892680113E+179</v>
      </c>
      <c r="TFB53" s="760">
        <f t="shared" si="249"/>
        <v>1.9795268099460518E+179</v>
      </c>
      <c r="TFC53" s="760">
        <f t="shared" si="249"/>
        <v>2.0389126142444334E+179</v>
      </c>
      <c r="TFD53" s="760">
        <f t="shared" si="249"/>
        <v>2.1000799926717664E+179</v>
      </c>
      <c r="TFE53" s="760">
        <f t="shared" si="249"/>
        <v>2.1630823924519194E+179</v>
      </c>
      <c r="TFF53" s="760">
        <f t="shared" si="249"/>
        <v>2.2279748642254769E+179</v>
      </c>
      <c r="TFG53" s="760">
        <f t="shared" si="249"/>
        <v>2.2948141101522412E+179</v>
      </c>
      <c r="TFH53" s="760">
        <f t="shared" si="249"/>
        <v>2.3636585334568086E+179</v>
      </c>
      <c r="TFI53" s="760">
        <f t="shared" si="249"/>
        <v>2.4345682894605131E+179</v>
      </c>
      <c r="TFJ53" s="760">
        <f t="shared" si="249"/>
        <v>2.5076053381443286E+179</v>
      </c>
      <c r="TFK53" s="760">
        <f t="shared" si="249"/>
        <v>2.5828334982886586E+179</v>
      </c>
      <c r="TFL53" s="760">
        <f t="shared" si="249"/>
        <v>2.6603185032373185E+179</v>
      </c>
      <c r="TFM53" s="760">
        <f t="shared" si="249"/>
        <v>2.740128058334438E+179</v>
      </c>
      <c r="TFN53" s="760">
        <f t="shared" si="249"/>
        <v>2.8223319000844712E+179</v>
      </c>
      <c r="TFO53" s="760">
        <f t="shared" si="249"/>
        <v>2.9070018570870056E+179</v>
      </c>
      <c r="TFP53" s="760">
        <f t="shared" si="249"/>
        <v>2.9942119127996161E+179</v>
      </c>
      <c r="TFQ53" s="760">
        <f t="shared" si="249"/>
        <v>3.0840382701836049E+179</v>
      </c>
      <c r="TFR53" s="760">
        <f t="shared" si="249"/>
        <v>3.1765594182891131E+179</v>
      </c>
      <c r="TFS53" s="760">
        <f t="shared" si="249"/>
        <v>3.2718562008377868E+179</v>
      </c>
      <c r="TFT53" s="760">
        <f t="shared" si="249"/>
        <v>3.3700118868629203E+179</v>
      </c>
      <c r="TFU53" s="760">
        <f t="shared" si="249"/>
        <v>3.471112243468808E+179</v>
      </c>
      <c r="TFV53" s="760">
        <f t="shared" si="249"/>
        <v>3.5752456107728721E+179</v>
      </c>
      <c r="TFW53" s="760">
        <f t="shared" si="249"/>
        <v>3.6825029790960581E+179</v>
      </c>
      <c r="TFX53" s="760">
        <f t="shared" si="249"/>
        <v>3.7929780684689397E+179</v>
      </c>
      <c r="TFY53" s="760">
        <f t="shared" si="249"/>
        <v>3.906767410523008E+179</v>
      </c>
      <c r="TFZ53" s="760">
        <f t="shared" si="249"/>
        <v>4.0239704328386982E+179</v>
      </c>
      <c r="TGA53" s="760">
        <f t="shared" ref="TGA53:TIL53" si="250">+TFZ53*$C$53</f>
        <v>4.1446895458238593E+179</v>
      </c>
      <c r="TGB53" s="760">
        <f t="shared" si="250"/>
        <v>4.2690302321985754E+179</v>
      </c>
      <c r="TGC53" s="760">
        <f t="shared" si="250"/>
        <v>4.3971011391645329E+179</v>
      </c>
      <c r="TGD53" s="760">
        <f t="shared" si="250"/>
        <v>4.5290141733394692E+179</v>
      </c>
      <c r="TGE53" s="760">
        <f t="shared" si="250"/>
        <v>4.6648845985396534E+179</v>
      </c>
      <c r="TGF53" s="760">
        <f t="shared" si="250"/>
        <v>4.8048311364958429E+179</v>
      </c>
      <c r="TGG53" s="760">
        <f t="shared" si="250"/>
        <v>4.9489760705907181E+179</v>
      </c>
      <c r="TGH53" s="760">
        <f t="shared" si="250"/>
        <v>5.0974453527084399E+179</v>
      </c>
      <c r="TGI53" s="760">
        <f t="shared" si="250"/>
        <v>5.2503687132896928E+179</v>
      </c>
      <c r="TGJ53" s="760">
        <f t="shared" si="250"/>
        <v>5.4078797746883839E+179</v>
      </c>
      <c r="TGK53" s="760">
        <f t="shared" si="250"/>
        <v>5.5701161679290358E+179</v>
      </c>
      <c r="TGL53" s="760">
        <f t="shared" si="250"/>
        <v>5.7372196529669066E+179</v>
      </c>
      <c r="TGM53" s="760">
        <f t="shared" si="250"/>
        <v>5.9093362425559144E+179</v>
      </c>
      <c r="TGN53" s="760">
        <f t="shared" si="250"/>
        <v>6.086616329832592E+179</v>
      </c>
      <c r="TGO53" s="760">
        <f t="shared" si="250"/>
        <v>6.2692148197275697E+179</v>
      </c>
      <c r="TGP53" s="760">
        <f t="shared" si="250"/>
        <v>6.4572912643193966E+179</v>
      </c>
      <c r="TGQ53" s="760">
        <f t="shared" si="250"/>
        <v>6.6510100022489783E+179</v>
      </c>
      <c r="TGR53" s="760">
        <f t="shared" si="250"/>
        <v>6.850540302316448E+179</v>
      </c>
      <c r="TGS53" s="760">
        <f t="shared" si="250"/>
        <v>7.0560565113859414E+179</v>
      </c>
      <c r="TGT53" s="760">
        <f t="shared" si="250"/>
        <v>7.2677382067275194E+179</v>
      </c>
      <c r="TGU53" s="760">
        <f t="shared" si="250"/>
        <v>7.4857703529293447E+179</v>
      </c>
      <c r="TGV53" s="760">
        <f t="shared" si="250"/>
        <v>7.7103434635172251E+179</v>
      </c>
      <c r="TGW53" s="760">
        <f t="shared" si="250"/>
        <v>7.9416537674227419E+179</v>
      </c>
      <c r="TGX53" s="760">
        <f t="shared" si="250"/>
        <v>8.1799033804454246E+179</v>
      </c>
      <c r="TGY53" s="760">
        <f t="shared" si="250"/>
        <v>8.4253004818587876E+179</v>
      </c>
      <c r="TGZ53" s="760">
        <f t="shared" si="250"/>
        <v>8.6780594963145515E+179</v>
      </c>
      <c r="THA53" s="760">
        <f t="shared" si="250"/>
        <v>8.9384012812039887E+179</v>
      </c>
      <c r="THB53" s="760">
        <f t="shared" si="250"/>
        <v>9.206553319640109E+179</v>
      </c>
      <c r="THC53" s="760">
        <f t="shared" si="250"/>
        <v>9.4827499192293125E+179</v>
      </c>
      <c r="THD53" s="760">
        <f t="shared" si="250"/>
        <v>9.7672324168061926E+179</v>
      </c>
      <c r="THE53" s="760">
        <f t="shared" si="250"/>
        <v>1.0060249389310378E+180</v>
      </c>
      <c r="THF53" s="760">
        <f t="shared" si="250"/>
        <v>1.036205687098969E+180</v>
      </c>
      <c r="THG53" s="760">
        <f t="shared" si="250"/>
        <v>1.0672918577119381E+180</v>
      </c>
      <c r="THH53" s="760">
        <f t="shared" si="250"/>
        <v>1.0993106134432962E+180</v>
      </c>
      <c r="THI53" s="760">
        <f t="shared" si="250"/>
        <v>1.1322899318465951E+180</v>
      </c>
      <c r="THJ53" s="760">
        <f t="shared" si="250"/>
        <v>1.166258629801993E+180</v>
      </c>
      <c r="THK53" s="760">
        <f t="shared" si="250"/>
        <v>1.2012463886960528E+180</v>
      </c>
      <c r="THL53" s="760">
        <f t="shared" si="250"/>
        <v>1.2372837803569344E+180</v>
      </c>
      <c r="THM53" s="760">
        <f t="shared" si="250"/>
        <v>1.2744022937676425E+180</v>
      </c>
      <c r="THN53" s="760">
        <f t="shared" si="250"/>
        <v>1.3126343625806717E+180</v>
      </c>
      <c r="THO53" s="760">
        <f t="shared" si="250"/>
        <v>1.352013393458092E+180</v>
      </c>
      <c r="THP53" s="760">
        <f t="shared" si="250"/>
        <v>1.3925737952618348E+180</v>
      </c>
      <c r="THQ53" s="760">
        <f t="shared" si="250"/>
        <v>1.4343510091196898E+180</v>
      </c>
      <c r="THR53" s="760">
        <f t="shared" si="250"/>
        <v>1.4773815393932806E+180</v>
      </c>
      <c r="THS53" s="760">
        <f t="shared" si="250"/>
        <v>1.521702985575079E+180</v>
      </c>
      <c r="THT53" s="760">
        <f t="shared" si="250"/>
        <v>1.5673540751423314E+180</v>
      </c>
      <c r="THU53" s="760">
        <f t="shared" si="250"/>
        <v>1.6143746973966013E+180</v>
      </c>
      <c r="THV53" s="760">
        <f t="shared" si="250"/>
        <v>1.6628059383184994E+180</v>
      </c>
      <c r="THW53" s="760">
        <f t="shared" si="250"/>
        <v>1.7126901164680543E+180</v>
      </c>
      <c r="THX53" s="760">
        <f t="shared" si="250"/>
        <v>1.7640708199620959E+180</v>
      </c>
      <c r="THY53" s="760">
        <f t="shared" si="250"/>
        <v>1.8169929445609589E+180</v>
      </c>
      <c r="THZ53" s="760">
        <f t="shared" si="250"/>
        <v>1.8715027328977877E+180</v>
      </c>
      <c r="TIA53" s="760">
        <f t="shared" si="250"/>
        <v>1.9276478148847212E+180</v>
      </c>
      <c r="TIB53" s="760">
        <f t="shared" si="250"/>
        <v>1.9854772493312629E+180</v>
      </c>
      <c r="TIC53" s="760">
        <f t="shared" si="250"/>
        <v>2.0450415668112008E+180</v>
      </c>
      <c r="TID53" s="760">
        <f t="shared" si="250"/>
        <v>2.1063928138155369E+180</v>
      </c>
      <c r="TIE53" s="760">
        <f t="shared" si="250"/>
        <v>2.1695845982300029E+180</v>
      </c>
      <c r="TIF53" s="760">
        <f t="shared" si="250"/>
        <v>2.2346721361769032E+180</v>
      </c>
      <c r="TIG53" s="760">
        <f t="shared" si="250"/>
        <v>2.3017123002622102E+180</v>
      </c>
      <c r="TIH53" s="760">
        <f t="shared" si="250"/>
        <v>2.3707636692700765E+180</v>
      </c>
      <c r="TII53" s="760">
        <f t="shared" si="250"/>
        <v>2.441886579348179E+180</v>
      </c>
      <c r="TIJ53" s="760">
        <f t="shared" si="250"/>
        <v>2.5151431767286245E+180</v>
      </c>
      <c r="TIK53" s="760">
        <f t="shared" si="250"/>
        <v>2.5905974720304833E+180</v>
      </c>
      <c r="TIL53" s="760">
        <f t="shared" si="250"/>
        <v>2.6683153961913979E+180</v>
      </c>
      <c r="TIM53" s="760">
        <f t="shared" ref="TIM53:TKX53" si="251">+TIL53*$C$53</f>
        <v>2.7483648580771398E+180</v>
      </c>
      <c r="TIN53" s="760">
        <f t="shared" si="251"/>
        <v>2.830815803819454E+180</v>
      </c>
      <c r="TIO53" s="760">
        <f t="shared" si="251"/>
        <v>2.9157402779340378E+180</v>
      </c>
      <c r="TIP53" s="760">
        <f t="shared" si="251"/>
        <v>3.0032124862720592E+180</v>
      </c>
      <c r="TIQ53" s="760">
        <f t="shared" si="251"/>
        <v>3.0933088608602211E+180</v>
      </c>
      <c r="TIR53" s="760">
        <f t="shared" si="251"/>
        <v>3.186108126686028E+180</v>
      </c>
      <c r="TIS53" s="760">
        <f t="shared" si="251"/>
        <v>3.2816913704866088E+180</v>
      </c>
      <c r="TIT53" s="760">
        <f t="shared" si="251"/>
        <v>3.3801421116012071E+180</v>
      </c>
      <c r="TIU53" s="760">
        <f t="shared" si="251"/>
        <v>3.4815463749492436E+180</v>
      </c>
      <c r="TIV53" s="760">
        <f t="shared" si="251"/>
        <v>3.585992766197721E+180</v>
      </c>
      <c r="TIW53" s="760">
        <f t="shared" si="251"/>
        <v>3.6935725491836529E+180</v>
      </c>
      <c r="TIX53" s="760">
        <f t="shared" si="251"/>
        <v>3.8043797256591626E+180</v>
      </c>
      <c r="TIY53" s="760">
        <f t="shared" si="251"/>
        <v>3.9185111174289377E+180</v>
      </c>
      <c r="TIZ53" s="760">
        <f t="shared" si="251"/>
        <v>4.0360664509518057E+180</v>
      </c>
      <c r="TJA53" s="760">
        <f t="shared" si="251"/>
        <v>4.1571484444803601E+180</v>
      </c>
      <c r="TJB53" s="760">
        <f t="shared" si="251"/>
        <v>4.2818628978147705E+180</v>
      </c>
      <c r="TJC53" s="760">
        <f t="shared" si="251"/>
        <v>4.4103187847492137E+180</v>
      </c>
      <c r="TJD53" s="760">
        <f t="shared" si="251"/>
        <v>4.5426283482916903E+180</v>
      </c>
      <c r="TJE53" s="760">
        <f t="shared" si="251"/>
        <v>4.6789071987404409E+180</v>
      </c>
      <c r="TJF53" s="760">
        <f t="shared" si="251"/>
        <v>4.8192744147026545E+180</v>
      </c>
      <c r="TJG53" s="760">
        <f t="shared" si="251"/>
        <v>4.9638526471437345E+180</v>
      </c>
      <c r="TJH53" s="760">
        <f t="shared" si="251"/>
        <v>5.1127682265580465E+180</v>
      </c>
      <c r="TJI53" s="760">
        <f t="shared" si="251"/>
        <v>5.2661512733547877E+180</v>
      </c>
      <c r="TJJ53" s="760">
        <f t="shared" si="251"/>
        <v>5.4241358115554318E+180</v>
      </c>
      <c r="TJK53" s="760">
        <f t="shared" si="251"/>
        <v>5.5868598859020953E+180</v>
      </c>
      <c r="TJL53" s="760">
        <f t="shared" si="251"/>
        <v>5.7544656824791586E+180</v>
      </c>
      <c r="TJM53" s="760">
        <f t="shared" si="251"/>
        <v>5.9270996529535332E+180</v>
      </c>
      <c r="TJN53" s="760">
        <f t="shared" si="251"/>
        <v>6.1049126425421393E+180</v>
      </c>
      <c r="TJO53" s="760">
        <f t="shared" si="251"/>
        <v>6.2880600218184038E+180</v>
      </c>
      <c r="TJP53" s="760">
        <f t="shared" si="251"/>
        <v>6.4767018224729558E+180</v>
      </c>
      <c r="TJQ53" s="760">
        <f t="shared" si="251"/>
        <v>6.6710028771471447E+180</v>
      </c>
      <c r="TJR53" s="760">
        <f t="shared" si="251"/>
        <v>6.871132963461559E+180</v>
      </c>
      <c r="TJS53" s="760">
        <f t="shared" si="251"/>
        <v>7.0772669523654056E+180</v>
      </c>
      <c r="TJT53" s="760">
        <f t="shared" si="251"/>
        <v>7.2895849609363682E+180</v>
      </c>
      <c r="TJU53" s="760">
        <f t="shared" si="251"/>
        <v>7.5082725097644597E+180</v>
      </c>
      <c r="TJV53" s="760">
        <f t="shared" si="251"/>
        <v>7.7335206850573938E+180</v>
      </c>
      <c r="TJW53" s="760">
        <f t="shared" si="251"/>
        <v>7.9655263056091161E+180</v>
      </c>
      <c r="TJX53" s="760">
        <f t="shared" si="251"/>
        <v>8.2044920947773893E+180</v>
      </c>
      <c r="TJY53" s="760">
        <f t="shared" si="251"/>
        <v>8.4506268576207107E+180</v>
      </c>
      <c r="TJZ53" s="760">
        <f t="shared" si="251"/>
        <v>8.704145663349332E+180</v>
      </c>
      <c r="TKA53" s="760">
        <f t="shared" si="251"/>
        <v>8.9652700332498125E+180</v>
      </c>
      <c r="TKB53" s="760">
        <f t="shared" si="251"/>
        <v>9.2342281342473063E+180</v>
      </c>
      <c r="TKC53" s="760">
        <f t="shared" si="251"/>
        <v>9.5112549782747248E+180</v>
      </c>
      <c r="TKD53" s="760">
        <f t="shared" si="251"/>
        <v>9.7965926276229668E+180</v>
      </c>
      <c r="TKE53" s="760">
        <f t="shared" si="251"/>
        <v>1.0090490406451656E+181</v>
      </c>
      <c r="TKF53" s="760">
        <f t="shared" si="251"/>
        <v>1.0393205118645205E+181</v>
      </c>
      <c r="TKG53" s="760">
        <f t="shared" si="251"/>
        <v>1.0705001272204562E+181</v>
      </c>
      <c r="TKH53" s="760">
        <f t="shared" si="251"/>
        <v>1.10261513103707E+181</v>
      </c>
      <c r="TKI53" s="760">
        <f t="shared" si="251"/>
        <v>1.1356935849681821E+181</v>
      </c>
      <c r="TKJ53" s="760">
        <f t="shared" si="251"/>
        <v>1.1697643925172276E+181</v>
      </c>
      <c r="TKK53" s="760">
        <f t="shared" si="251"/>
        <v>1.2048573242927445E+181</v>
      </c>
      <c r="TKL53" s="760">
        <f t="shared" si="251"/>
        <v>1.2410030440215268E+181</v>
      </c>
      <c r="TKM53" s="760">
        <f t="shared" si="251"/>
        <v>1.2782331353421726E+181</v>
      </c>
      <c r="TKN53" s="760">
        <f t="shared" si="251"/>
        <v>1.3165801294024379E+181</v>
      </c>
      <c r="TKO53" s="760">
        <f t="shared" si="251"/>
        <v>1.356077533284511E+181</v>
      </c>
      <c r="TKP53" s="760">
        <f t="shared" si="251"/>
        <v>1.3967598592830464E+181</v>
      </c>
      <c r="TKQ53" s="760">
        <f t="shared" si="251"/>
        <v>1.4386626550615378E+181</v>
      </c>
      <c r="TKR53" s="760">
        <f t="shared" si="251"/>
        <v>1.4818225347133839E+181</v>
      </c>
      <c r="TKS53" s="760">
        <f t="shared" si="251"/>
        <v>1.5262772107547855E+181</v>
      </c>
      <c r="TKT53" s="760">
        <f t="shared" si="251"/>
        <v>1.572065527077429E+181</v>
      </c>
      <c r="TKU53" s="760">
        <f t="shared" si="251"/>
        <v>1.619227492889752E+181</v>
      </c>
      <c r="TKV53" s="760">
        <f t="shared" si="251"/>
        <v>1.6678043176764446E+181</v>
      </c>
      <c r="TKW53" s="760">
        <f t="shared" si="251"/>
        <v>1.7178384472067381E+181</v>
      </c>
      <c r="TKX53" s="760">
        <f t="shared" si="251"/>
        <v>1.7693736006229403E+181</v>
      </c>
      <c r="TKY53" s="760">
        <f t="shared" ref="TKY53:TNJ53" si="252">+TKX53*$C$53</f>
        <v>1.8224548086416286E+181</v>
      </c>
      <c r="TKZ53" s="760">
        <f t="shared" si="252"/>
        <v>1.8771284529008776E+181</v>
      </c>
      <c r="TLA53" s="760">
        <f t="shared" si="252"/>
        <v>1.9334423064879041E+181</v>
      </c>
      <c r="TLB53" s="760">
        <f t="shared" si="252"/>
        <v>1.9914455756825411E+181</v>
      </c>
      <c r="TLC53" s="760">
        <f t="shared" si="252"/>
        <v>2.0511889429530173E+181</v>
      </c>
      <c r="TLD53" s="760">
        <f t="shared" si="252"/>
        <v>2.1127246112416079E+181</v>
      </c>
      <c r="TLE53" s="760">
        <f t="shared" si="252"/>
        <v>2.1761063495788562E+181</v>
      </c>
      <c r="TLF53" s="760">
        <f t="shared" si="252"/>
        <v>2.2413895400662219E+181</v>
      </c>
      <c r="TLG53" s="760">
        <f t="shared" si="252"/>
        <v>2.3086312262682086E+181</v>
      </c>
      <c r="TLH53" s="760">
        <f t="shared" si="252"/>
        <v>2.3778901630562551E+181</v>
      </c>
      <c r="TLI53" s="760">
        <f t="shared" si="252"/>
        <v>2.4492268679479429E+181</v>
      </c>
      <c r="TLJ53" s="760">
        <f t="shared" si="252"/>
        <v>2.5227036739863813E+181</v>
      </c>
      <c r="TLK53" s="760">
        <f t="shared" si="252"/>
        <v>2.5983847842059729E+181</v>
      </c>
      <c r="TLL53" s="760">
        <f t="shared" si="252"/>
        <v>2.6763363277321524E+181</v>
      </c>
      <c r="TLM53" s="760">
        <f t="shared" si="252"/>
        <v>2.7566264175641171E+181</v>
      </c>
      <c r="TLN53" s="760">
        <f t="shared" si="252"/>
        <v>2.8393252100910408E+181</v>
      </c>
      <c r="TLO53" s="760">
        <f t="shared" si="252"/>
        <v>2.9245049663937722E+181</v>
      </c>
      <c r="TLP53" s="760">
        <f t="shared" si="252"/>
        <v>3.0122401153855852E+181</v>
      </c>
      <c r="TLQ53" s="760">
        <f t="shared" si="252"/>
        <v>3.102607318847153E+181</v>
      </c>
      <c r="TLR53" s="760">
        <f t="shared" si="252"/>
        <v>3.1956855384125678E+181</v>
      </c>
      <c r="TLS53" s="760">
        <f t="shared" si="252"/>
        <v>3.291556104564945E+181</v>
      </c>
      <c r="TLT53" s="760">
        <f t="shared" si="252"/>
        <v>3.3903027877018934E+181</v>
      </c>
      <c r="TLU53" s="760">
        <f t="shared" si="252"/>
        <v>3.4920118713329505E+181</v>
      </c>
      <c r="TLV53" s="760">
        <f t="shared" si="252"/>
        <v>3.5967722274729393E+181</v>
      </c>
      <c r="TLW53" s="760">
        <f t="shared" si="252"/>
        <v>3.7046753942971279E+181</v>
      </c>
      <c r="TLX53" s="760">
        <f t="shared" si="252"/>
        <v>3.815815656126042E+181</v>
      </c>
      <c r="TLY53" s="760">
        <f t="shared" si="252"/>
        <v>3.930290125809823E+181</v>
      </c>
      <c r="TLZ53" s="760">
        <f t="shared" si="252"/>
        <v>4.0481988295841181E+181</v>
      </c>
      <c r="TMA53" s="760">
        <f t="shared" si="252"/>
        <v>4.1696447944716419E+181</v>
      </c>
      <c r="TMB53" s="760">
        <f t="shared" si="252"/>
        <v>4.2947341383057916E+181</v>
      </c>
      <c r="TMC53" s="760">
        <f t="shared" si="252"/>
        <v>4.4235761624549653E+181</v>
      </c>
      <c r="TMD53" s="760">
        <f t="shared" si="252"/>
        <v>4.5562834473286142E+181</v>
      </c>
      <c r="TME53" s="760">
        <f t="shared" si="252"/>
        <v>4.6929719507484727E+181</v>
      </c>
      <c r="TMF53" s="760">
        <f t="shared" si="252"/>
        <v>4.8337611092709273E+181</v>
      </c>
      <c r="TMG53" s="760">
        <f t="shared" si="252"/>
        <v>4.978773942549055E+181</v>
      </c>
      <c r="TMH53" s="760">
        <f t="shared" si="252"/>
        <v>5.1281371608255269E+181</v>
      </c>
      <c r="TMI53" s="760">
        <f t="shared" si="252"/>
        <v>5.2819812756502926E+181</v>
      </c>
      <c r="TMJ53" s="760">
        <f t="shared" si="252"/>
        <v>5.4404407139198017E+181</v>
      </c>
      <c r="TMK53" s="760">
        <f t="shared" si="252"/>
        <v>5.6036539353373961E+181</v>
      </c>
      <c r="TML53" s="760">
        <f t="shared" si="252"/>
        <v>5.771763553397518E+181</v>
      </c>
      <c r="TMM53" s="760">
        <f t="shared" si="252"/>
        <v>5.9449164599994438E+181</v>
      </c>
      <c r="TMN53" s="760">
        <f t="shared" si="252"/>
        <v>6.1232639537994269E+181</v>
      </c>
      <c r="TMO53" s="760">
        <f t="shared" si="252"/>
        <v>6.3069618724134096E+181</v>
      </c>
      <c r="TMP53" s="760">
        <f t="shared" si="252"/>
        <v>6.4961707285858122E+181</v>
      </c>
      <c r="TMQ53" s="760">
        <f t="shared" si="252"/>
        <v>6.6910558504433861E+181</v>
      </c>
      <c r="TMR53" s="760">
        <f t="shared" si="252"/>
        <v>6.8917875259566885E+181</v>
      </c>
      <c r="TMS53" s="760">
        <f t="shared" si="252"/>
        <v>7.0985411517353899E+181</v>
      </c>
      <c r="TMT53" s="760">
        <f t="shared" si="252"/>
        <v>7.3114973862874517E+181</v>
      </c>
      <c r="TMU53" s="760">
        <f t="shared" si="252"/>
        <v>7.5308423078760753E+181</v>
      </c>
      <c r="TMV53" s="760">
        <f t="shared" si="252"/>
        <v>7.7567675771123571E+181</v>
      </c>
      <c r="TMW53" s="760">
        <f t="shared" si="252"/>
        <v>7.9894706044257286E+181</v>
      </c>
      <c r="TMX53" s="760">
        <f t="shared" si="252"/>
        <v>8.2291547225585012E+181</v>
      </c>
      <c r="TMY53" s="760">
        <f t="shared" si="252"/>
        <v>8.4760293642352572E+181</v>
      </c>
      <c r="TMZ53" s="760">
        <f t="shared" si="252"/>
        <v>8.7303102451623156E+181</v>
      </c>
      <c r="TNA53" s="760">
        <f t="shared" si="252"/>
        <v>8.992219552517186E+181</v>
      </c>
      <c r="TNB53" s="760">
        <f t="shared" si="252"/>
        <v>9.2619861390927017E+181</v>
      </c>
      <c r="TNC53" s="760">
        <f t="shared" si="252"/>
        <v>9.5398457232654827E+181</v>
      </c>
      <c r="TND53" s="760">
        <f t="shared" si="252"/>
        <v>9.8260410949634481E+181</v>
      </c>
      <c r="TNE53" s="760">
        <f t="shared" si="252"/>
        <v>1.0120822327812352E+182</v>
      </c>
      <c r="TNF53" s="760">
        <f t="shared" si="252"/>
        <v>1.0424446997646723E+182</v>
      </c>
      <c r="TNG53" s="760">
        <f t="shared" si="252"/>
        <v>1.0737180407576125E+182</v>
      </c>
      <c r="TNH53" s="760">
        <f t="shared" si="252"/>
        <v>1.105929581980341E+182</v>
      </c>
      <c r="TNI53" s="760">
        <f t="shared" si="252"/>
        <v>1.1391074694397512E+182</v>
      </c>
      <c r="TNJ53" s="760">
        <f t="shared" si="252"/>
        <v>1.1732806935229437E+182</v>
      </c>
      <c r="TNK53" s="760">
        <f t="shared" ref="TNK53:TPV53" si="253">+TNJ53*$C$53</f>
        <v>1.208479114328632E+182</v>
      </c>
      <c r="TNL53" s="760">
        <f t="shared" si="253"/>
        <v>1.2447334877584911E+182</v>
      </c>
      <c r="TNM53" s="760">
        <f t="shared" si="253"/>
        <v>1.2820754923912459E+182</v>
      </c>
      <c r="TNN53" s="760">
        <f t="shared" si="253"/>
        <v>1.3205377571629833E+182</v>
      </c>
      <c r="TNO53" s="760">
        <f t="shared" si="253"/>
        <v>1.3601538898778728E+182</v>
      </c>
      <c r="TNP53" s="760">
        <f t="shared" si="253"/>
        <v>1.400958506574209E+182</v>
      </c>
      <c r="TNQ53" s="760">
        <f t="shared" si="253"/>
        <v>1.4429872617714353E+182</v>
      </c>
      <c r="TNR53" s="760">
        <f t="shared" si="253"/>
        <v>1.4862768796245784E+182</v>
      </c>
      <c r="TNS53" s="760">
        <f t="shared" si="253"/>
        <v>1.5308651860133157E+182</v>
      </c>
      <c r="TNT53" s="760">
        <f t="shared" si="253"/>
        <v>1.5767911415937151E+182</v>
      </c>
      <c r="TNU53" s="760">
        <f t="shared" si="253"/>
        <v>1.6240948758415265E+182</v>
      </c>
      <c r="TNV53" s="760">
        <f t="shared" si="253"/>
        <v>1.6728177221167723E+182</v>
      </c>
      <c r="TNW53" s="760">
        <f t="shared" si="253"/>
        <v>1.7230022537802754E+182</v>
      </c>
      <c r="TNX53" s="760">
        <f t="shared" si="253"/>
        <v>1.7746923213936836E+182</v>
      </c>
      <c r="TNY53" s="760">
        <f t="shared" si="253"/>
        <v>1.8279330910354941E+182</v>
      </c>
      <c r="TNZ53" s="760">
        <f t="shared" si="253"/>
        <v>1.882771083766559E+182</v>
      </c>
      <c r="TOA53" s="760">
        <f t="shared" si="253"/>
        <v>1.9392542162795558E+182</v>
      </c>
      <c r="TOB53" s="760">
        <f t="shared" si="253"/>
        <v>1.9974318427679426E+182</v>
      </c>
      <c r="TOC53" s="760">
        <f t="shared" si="253"/>
        <v>2.0573547980509808E+182</v>
      </c>
      <c r="TOD53" s="760">
        <f t="shared" si="253"/>
        <v>2.1190754419925103E+182</v>
      </c>
      <c r="TOE53" s="760">
        <f t="shared" si="253"/>
        <v>2.1826477052522857E+182</v>
      </c>
      <c r="TOF53" s="760">
        <f t="shared" si="253"/>
        <v>2.2481271364098545E+182</v>
      </c>
      <c r="TOG53" s="760">
        <f t="shared" si="253"/>
        <v>2.3155709505021502E+182</v>
      </c>
      <c r="TOH53" s="760">
        <f t="shared" si="253"/>
        <v>2.3850380790172148E+182</v>
      </c>
      <c r="TOI53" s="760">
        <f t="shared" si="253"/>
        <v>2.4565892213877312E+182</v>
      </c>
      <c r="TOJ53" s="760">
        <f t="shared" si="253"/>
        <v>2.5302868980293632E+182</v>
      </c>
      <c r="TOK53" s="760">
        <f t="shared" si="253"/>
        <v>2.6061955049702442E+182</v>
      </c>
      <c r="TOL53" s="760">
        <f t="shared" si="253"/>
        <v>2.6843813701193517E+182</v>
      </c>
      <c r="TOM53" s="760">
        <f t="shared" si="253"/>
        <v>2.7649128112229326E+182</v>
      </c>
      <c r="TON53" s="760">
        <f t="shared" si="253"/>
        <v>2.8478601955596206E+182</v>
      </c>
      <c r="TOO53" s="760">
        <f t="shared" si="253"/>
        <v>2.9332960014264092E+182</v>
      </c>
      <c r="TOP53" s="760">
        <f t="shared" si="253"/>
        <v>3.0212948814692013E+182</v>
      </c>
      <c r="TOQ53" s="760">
        <f t="shared" si="253"/>
        <v>3.1119337279132776E+182</v>
      </c>
      <c r="TOR53" s="760">
        <f t="shared" si="253"/>
        <v>3.2052917397506763E+182</v>
      </c>
      <c r="TOS53" s="760">
        <f t="shared" si="253"/>
        <v>3.3014504919431967E+182</v>
      </c>
      <c r="TOT53" s="760">
        <f t="shared" si="253"/>
        <v>3.4004940067014928E+182</v>
      </c>
      <c r="TOU53" s="760">
        <f t="shared" si="253"/>
        <v>3.5025088269025379E+182</v>
      </c>
      <c r="TOV53" s="760">
        <f t="shared" si="253"/>
        <v>3.6075840917096143E+182</v>
      </c>
      <c r="TOW53" s="760">
        <f t="shared" si="253"/>
        <v>3.7158116144609031E+182</v>
      </c>
      <c r="TOX53" s="760">
        <f t="shared" si="253"/>
        <v>3.8272859628947304E+182</v>
      </c>
      <c r="TOY53" s="760">
        <f t="shared" si="253"/>
        <v>3.9421045417815724E+182</v>
      </c>
      <c r="TOZ53" s="760">
        <f t="shared" si="253"/>
        <v>4.0603676780350195E+182</v>
      </c>
      <c r="TPA53" s="760">
        <f t="shared" si="253"/>
        <v>4.1821787083760702E+182</v>
      </c>
      <c r="TPB53" s="760">
        <f t="shared" si="253"/>
        <v>4.3076440696273527E+182</v>
      </c>
      <c r="TPC53" s="760">
        <f t="shared" si="253"/>
        <v>4.4368733917161733E+182</v>
      </c>
      <c r="TPD53" s="760">
        <f t="shared" si="253"/>
        <v>4.5699795934676584E+182</v>
      </c>
      <c r="TPE53" s="760">
        <f t="shared" si="253"/>
        <v>4.7070789812716884E+182</v>
      </c>
      <c r="TPF53" s="760">
        <f t="shared" si="253"/>
        <v>4.848291350709839E+182</v>
      </c>
      <c r="TPG53" s="760">
        <f t="shared" si="253"/>
        <v>4.9937400912311344E+182</v>
      </c>
      <c r="TPH53" s="760">
        <f t="shared" si="253"/>
        <v>5.1435522939680686E+182</v>
      </c>
      <c r="TPI53" s="760">
        <f t="shared" si="253"/>
        <v>5.2978588627871107E+182</v>
      </c>
      <c r="TPJ53" s="760">
        <f t="shared" si="253"/>
        <v>5.4567946286707244E+182</v>
      </c>
      <c r="TPK53" s="760">
        <f t="shared" si="253"/>
        <v>5.6204984675308462E+182</v>
      </c>
      <c r="TPL53" s="760">
        <f t="shared" si="253"/>
        <v>5.789113421556772E+182</v>
      </c>
      <c r="TPM53" s="760">
        <f t="shared" si="253"/>
        <v>5.9627868242034748E+182</v>
      </c>
      <c r="TPN53" s="760">
        <f t="shared" si="253"/>
        <v>6.1416704289295793E+182</v>
      </c>
      <c r="TPO53" s="760">
        <f t="shared" si="253"/>
        <v>6.3259205417974666E+182</v>
      </c>
      <c r="TPP53" s="760">
        <f t="shared" si="253"/>
        <v>6.5156981580513906E+182</v>
      </c>
      <c r="TPQ53" s="760">
        <f t="shared" si="253"/>
        <v>6.7111691027929323E+182</v>
      </c>
      <c r="TPR53" s="760">
        <f t="shared" si="253"/>
        <v>6.9125041758767203E+182</v>
      </c>
      <c r="TPS53" s="760">
        <f t="shared" si="253"/>
        <v>7.1198793011530216E+182</v>
      </c>
      <c r="TPT53" s="760">
        <f t="shared" si="253"/>
        <v>7.3334756801876127E+182</v>
      </c>
      <c r="TPU53" s="760">
        <f t="shared" si="253"/>
        <v>7.5534799505932417E+182</v>
      </c>
      <c r="TPV53" s="760">
        <f t="shared" si="253"/>
        <v>7.7800843491110397E+182</v>
      </c>
      <c r="TPW53" s="760">
        <f t="shared" ref="TPW53:TSH53" si="254">+TPV53*$C$53</f>
        <v>8.0134868795843707E+182</v>
      </c>
      <c r="TPX53" s="760">
        <f t="shared" si="254"/>
        <v>8.2538914859719017E+182</v>
      </c>
      <c r="TPY53" s="760">
        <f t="shared" si="254"/>
        <v>8.5015082305510593E+182</v>
      </c>
      <c r="TPZ53" s="760">
        <f t="shared" si="254"/>
        <v>8.7565534774675919E+182</v>
      </c>
      <c r="TQA53" s="760">
        <f t="shared" si="254"/>
        <v>9.0192500817916197E+182</v>
      </c>
      <c r="TQB53" s="760">
        <f t="shared" si="254"/>
        <v>9.2898275842453681E+182</v>
      </c>
      <c r="TQC53" s="760">
        <f t="shared" si="254"/>
        <v>9.5685224117727296E+182</v>
      </c>
      <c r="TQD53" s="760">
        <f t="shared" si="254"/>
        <v>9.8555780841259115E+182</v>
      </c>
      <c r="TQE53" s="760">
        <f t="shared" si="254"/>
        <v>1.0151245426649689E+183</v>
      </c>
      <c r="TQF53" s="760">
        <f t="shared" si="254"/>
        <v>1.0455782789449179E+183</v>
      </c>
      <c r="TQG53" s="760">
        <f t="shared" si="254"/>
        <v>1.0769456273132655E+183</v>
      </c>
      <c r="TQH53" s="760">
        <f t="shared" si="254"/>
        <v>1.1092539961326634E+183</v>
      </c>
      <c r="TQI53" s="760">
        <f t="shared" si="254"/>
        <v>1.1425316160166433E+183</v>
      </c>
      <c r="TQJ53" s="760">
        <f t="shared" si="254"/>
        <v>1.1768075644971427E+183</v>
      </c>
      <c r="TQK53" s="760">
        <f t="shared" si="254"/>
        <v>1.2121117914320571E+183</v>
      </c>
      <c r="TQL53" s="760">
        <f t="shared" si="254"/>
        <v>1.2484751451750187E+183</v>
      </c>
      <c r="TQM53" s="760">
        <f t="shared" si="254"/>
        <v>1.2859293995302694E+183</v>
      </c>
      <c r="TQN53" s="760">
        <f t="shared" si="254"/>
        <v>1.3245072815161776E+183</v>
      </c>
      <c r="TQO53" s="760">
        <f t="shared" si="254"/>
        <v>1.3642424999616629E+183</v>
      </c>
      <c r="TQP53" s="760">
        <f t="shared" si="254"/>
        <v>1.4051697749605128E+183</v>
      </c>
      <c r="TQQ53" s="760">
        <f t="shared" si="254"/>
        <v>1.4473248682093282E+183</v>
      </c>
      <c r="TQR53" s="760">
        <f t="shared" si="254"/>
        <v>1.4907446142556082E+183</v>
      </c>
      <c r="TQS53" s="760">
        <f t="shared" si="254"/>
        <v>1.5354669526832765E+183</v>
      </c>
      <c r="TQT53" s="760">
        <f t="shared" si="254"/>
        <v>1.5815309612637748E+183</v>
      </c>
      <c r="TQU53" s="760">
        <f t="shared" si="254"/>
        <v>1.628976890101688E+183</v>
      </c>
      <c r="TQV53" s="760">
        <f t="shared" si="254"/>
        <v>1.6778461968047386E+183</v>
      </c>
      <c r="TQW53" s="760">
        <f t="shared" si="254"/>
        <v>1.7281815827088809E+183</v>
      </c>
      <c r="TQX53" s="760">
        <f t="shared" si="254"/>
        <v>1.7800270301901473E+183</v>
      </c>
      <c r="TQY53" s="760">
        <f t="shared" si="254"/>
        <v>1.8334278410958517E+183</v>
      </c>
      <c r="TQZ53" s="760">
        <f t="shared" si="254"/>
        <v>1.8884306763287272E+183</v>
      </c>
      <c r="TRA53" s="760">
        <f t="shared" si="254"/>
        <v>1.945083596618589E+183</v>
      </c>
      <c r="TRB53" s="760">
        <f t="shared" si="254"/>
        <v>2.0034361045171469E+183</v>
      </c>
      <c r="TRC53" s="760">
        <f t="shared" si="254"/>
        <v>2.0635391876526612E+183</v>
      </c>
      <c r="TRD53" s="760">
        <f t="shared" si="254"/>
        <v>2.125445363282241E+183</v>
      </c>
      <c r="TRE53" s="760">
        <f t="shared" si="254"/>
        <v>2.1892087241807082E+183</v>
      </c>
      <c r="TRF53" s="760">
        <f t="shared" si="254"/>
        <v>2.2548849859061296E+183</v>
      </c>
      <c r="TRG53" s="760">
        <f t="shared" si="254"/>
        <v>2.3225315354833135E+183</v>
      </c>
      <c r="TRH53" s="760">
        <f t="shared" si="254"/>
        <v>2.3922074815478129E+183</v>
      </c>
      <c r="TRI53" s="760">
        <f t="shared" si="254"/>
        <v>2.4639737059942473E+183</v>
      </c>
      <c r="TRJ53" s="760">
        <f t="shared" si="254"/>
        <v>2.5378929171740749E+183</v>
      </c>
      <c r="TRK53" s="760">
        <f t="shared" si="254"/>
        <v>2.6140297046892973E+183</v>
      </c>
      <c r="TRL53" s="760">
        <f t="shared" si="254"/>
        <v>2.6924505958299765E+183</v>
      </c>
      <c r="TRM53" s="760">
        <f t="shared" si="254"/>
        <v>2.7732241137048758E+183</v>
      </c>
      <c r="TRN53" s="760">
        <f t="shared" si="254"/>
        <v>2.8564208371160224E+183</v>
      </c>
      <c r="TRO53" s="760">
        <f t="shared" si="254"/>
        <v>2.9421134622295034E+183</v>
      </c>
      <c r="TRP53" s="760">
        <f t="shared" si="254"/>
        <v>3.0303768660963886E+183</v>
      </c>
      <c r="TRQ53" s="760">
        <f t="shared" si="254"/>
        <v>3.1212881720792804E+183</v>
      </c>
      <c r="TRR53" s="760">
        <f t="shared" si="254"/>
        <v>3.2149268172416588E+183</v>
      </c>
      <c r="TRS53" s="760">
        <f t="shared" si="254"/>
        <v>3.3113746217589086E+183</v>
      </c>
      <c r="TRT53" s="760">
        <f t="shared" si="254"/>
        <v>3.4107158604116758E+183</v>
      </c>
      <c r="TRU53" s="760">
        <f t="shared" si="254"/>
        <v>3.5130373362240263E+183</v>
      </c>
      <c r="TRV53" s="760">
        <f t="shared" si="254"/>
        <v>3.6184284563107473E+183</v>
      </c>
      <c r="TRW53" s="760">
        <f t="shared" si="254"/>
        <v>3.7269813100000696E+183</v>
      </c>
      <c r="TRX53" s="760">
        <f t="shared" si="254"/>
        <v>3.838790749300072E+183</v>
      </c>
      <c r="TRY53" s="760">
        <f t="shared" si="254"/>
        <v>3.9539544717790745E+183</v>
      </c>
      <c r="TRZ53" s="760">
        <f t="shared" si="254"/>
        <v>4.072573105932447E+183</v>
      </c>
      <c r="TSA53" s="760">
        <f t="shared" si="254"/>
        <v>4.1947502991104207E+183</v>
      </c>
      <c r="TSB53" s="760">
        <f t="shared" si="254"/>
        <v>4.3205928080837337E+183</v>
      </c>
      <c r="TSC53" s="760">
        <f t="shared" si="254"/>
        <v>4.4502105923262454E+183</v>
      </c>
      <c r="TSD53" s="760">
        <f t="shared" si="254"/>
        <v>4.5837169100960328E+183</v>
      </c>
      <c r="TSE53" s="760">
        <f t="shared" si="254"/>
        <v>4.7212284173989139E+183</v>
      </c>
      <c r="TSF53" s="760">
        <f t="shared" si="254"/>
        <v>4.862865269920881E+183</v>
      </c>
      <c r="TSG53" s="760">
        <f t="shared" si="254"/>
        <v>5.0087512280185075E+183</v>
      </c>
      <c r="TSH53" s="760">
        <f t="shared" si="254"/>
        <v>5.1590137648590628E+183</v>
      </c>
      <c r="TSI53" s="760">
        <f t="shared" ref="TSI53:TUT53" si="255">+TSH53*$C$53</f>
        <v>5.313784177804835E+183</v>
      </c>
      <c r="TSJ53" s="760">
        <f t="shared" si="255"/>
        <v>5.4731977031389806E+183</v>
      </c>
      <c r="TSK53" s="760">
        <f t="shared" si="255"/>
        <v>5.63739363423315E+183</v>
      </c>
      <c r="TSL53" s="760">
        <f t="shared" si="255"/>
        <v>5.8065154432601448E+183</v>
      </c>
      <c r="TSM53" s="760">
        <f t="shared" si="255"/>
        <v>5.9807109065579496E+183</v>
      </c>
      <c r="TSN53" s="760">
        <f t="shared" si="255"/>
        <v>6.1601322337546885E+183</v>
      </c>
      <c r="TSO53" s="760">
        <f t="shared" si="255"/>
        <v>6.3449362007673292E+183</v>
      </c>
      <c r="TSP53" s="760">
        <f t="shared" si="255"/>
        <v>6.5352842867903496E+183</v>
      </c>
      <c r="TSQ53" s="760">
        <f t="shared" si="255"/>
        <v>6.7313428153940598E+183</v>
      </c>
      <c r="TSR53" s="760">
        <f t="shared" si="255"/>
        <v>6.9332830998558814E+183</v>
      </c>
      <c r="TSS53" s="760">
        <f t="shared" si="255"/>
        <v>7.1412815928515583E+183</v>
      </c>
      <c r="TST53" s="760">
        <f t="shared" si="255"/>
        <v>7.3555200406371054E+183</v>
      </c>
      <c r="TSU53" s="760">
        <f t="shared" si="255"/>
        <v>7.5761856418562191E+183</v>
      </c>
      <c r="TSV53" s="760">
        <f t="shared" si="255"/>
        <v>7.8034712111119058E+183</v>
      </c>
      <c r="TSW53" s="760">
        <f t="shared" si="255"/>
        <v>8.0375753474452634E+183</v>
      </c>
      <c r="TSX53" s="760">
        <f t="shared" si="255"/>
        <v>8.2787026078686217E+183</v>
      </c>
      <c r="TSY53" s="760">
        <f t="shared" si="255"/>
        <v>8.5270636861046804E+183</v>
      </c>
      <c r="TSZ53" s="760">
        <f t="shared" si="255"/>
        <v>8.7828755966878214E+183</v>
      </c>
      <c r="TTA53" s="760">
        <f t="shared" si="255"/>
        <v>9.0463618645884571E+183</v>
      </c>
      <c r="TTB53" s="760">
        <f t="shared" si="255"/>
        <v>9.3177527205261107E+183</v>
      </c>
      <c r="TTC53" s="760">
        <f t="shared" si="255"/>
        <v>9.5972853021418947E+183</v>
      </c>
      <c r="TTD53" s="760">
        <f t="shared" si="255"/>
        <v>9.8852038612061526E+183</v>
      </c>
      <c r="TTE53" s="760">
        <f t="shared" si="255"/>
        <v>1.0181759977042337E+184</v>
      </c>
      <c r="TTF53" s="760">
        <f t="shared" si="255"/>
        <v>1.0487212776353608E+184</v>
      </c>
      <c r="TTG53" s="760">
        <f t="shared" si="255"/>
        <v>1.0801829159644217E+184</v>
      </c>
      <c r="TTH53" s="760">
        <f t="shared" si="255"/>
        <v>1.1125884034433545E+184</v>
      </c>
      <c r="TTI53" s="760">
        <f t="shared" si="255"/>
        <v>1.1459660555466551E+184</v>
      </c>
      <c r="TTJ53" s="760">
        <f t="shared" si="255"/>
        <v>1.1803450372130548E+184</v>
      </c>
      <c r="TTK53" s="760">
        <f t="shared" si="255"/>
        <v>1.2157553883294465E+184</v>
      </c>
      <c r="TTL53" s="760">
        <f t="shared" si="255"/>
        <v>1.2522280499793299E+184</v>
      </c>
      <c r="TTM53" s="760">
        <f t="shared" si="255"/>
        <v>1.2897948914787098E+184</v>
      </c>
      <c r="TTN53" s="760">
        <f t="shared" si="255"/>
        <v>1.3284887382230712E+184</v>
      </c>
      <c r="TTO53" s="760">
        <f t="shared" si="255"/>
        <v>1.3683434003697635E+184</v>
      </c>
      <c r="TTP53" s="760">
        <f t="shared" si="255"/>
        <v>1.4093937023808565E+184</v>
      </c>
      <c r="TTQ53" s="760">
        <f t="shared" si="255"/>
        <v>1.4516755134522822E+184</v>
      </c>
      <c r="TTR53" s="760">
        <f t="shared" si="255"/>
        <v>1.4952257788558507E+184</v>
      </c>
      <c r="TTS53" s="760">
        <f t="shared" si="255"/>
        <v>1.5400825522215263E+184</v>
      </c>
      <c r="TTT53" s="760">
        <f t="shared" si="255"/>
        <v>1.5862850287881721E+184</v>
      </c>
      <c r="TTU53" s="760">
        <f t="shared" si="255"/>
        <v>1.6338735796518173E+184</v>
      </c>
      <c r="TTV53" s="760">
        <f t="shared" si="255"/>
        <v>1.6828897870413719E+184</v>
      </c>
      <c r="TTW53" s="760">
        <f t="shared" si="255"/>
        <v>1.7333764806526132E+184</v>
      </c>
      <c r="TTX53" s="760">
        <f t="shared" si="255"/>
        <v>1.7853777750721914E+184</v>
      </c>
      <c r="TTY53" s="760">
        <f t="shared" si="255"/>
        <v>1.8389391083243573E+184</v>
      </c>
      <c r="TTZ53" s="760">
        <f t="shared" si="255"/>
        <v>1.8941072815740882E+184</v>
      </c>
      <c r="TUA53" s="760">
        <f t="shared" si="255"/>
        <v>1.9509305000213108E+184</v>
      </c>
      <c r="TUB53" s="760">
        <f t="shared" si="255"/>
        <v>2.0094584150219503E+184</v>
      </c>
      <c r="TUC53" s="760">
        <f t="shared" si="255"/>
        <v>2.0697421674726088E+184</v>
      </c>
      <c r="TUD53" s="760">
        <f t="shared" si="255"/>
        <v>2.1318344324967871E+184</v>
      </c>
      <c r="TUE53" s="760">
        <f t="shared" si="255"/>
        <v>2.1957894654716908E+184</v>
      </c>
      <c r="TUF53" s="760">
        <f t="shared" si="255"/>
        <v>2.2616631494358416E+184</v>
      </c>
      <c r="TUG53" s="760">
        <f t="shared" si="255"/>
        <v>2.329513043918917E+184</v>
      </c>
      <c r="TUH53" s="760">
        <f t="shared" si="255"/>
        <v>2.3993984352364845E+184</v>
      </c>
      <c r="TUI53" s="760">
        <f t="shared" si="255"/>
        <v>2.4713803882935793E+184</v>
      </c>
      <c r="TUJ53" s="760">
        <f t="shared" si="255"/>
        <v>2.5455217999423868E+184</v>
      </c>
      <c r="TUK53" s="760">
        <f t="shared" si="255"/>
        <v>2.6218874539406586E+184</v>
      </c>
      <c r="TUL53" s="760">
        <f t="shared" si="255"/>
        <v>2.7005440775588784E+184</v>
      </c>
      <c r="TUM53" s="760">
        <f t="shared" si="255"/>
        <v>2.7815603998856449E+184</v>
      </c>
      <c r="TUN53" s="760">
        <f t="shared" si="255"/>
        <v>2.8650072118822142E+184</v>
      </c>
      <c r="TUO53" s="760">
        <f t="shared" si="255"/>
        <v>2.9509574282386808E+184</v>
      </c>
      <c r="TUP53" s="760">
        <f t="shared" si="255"/>
        <v>3.0394861510858411E+184</v>
      </c>
      <c r="TUQ53" s="760">
        <f t="shared" si="255"/>
        <v>3.1306707356184165E+184</v>
      </c>
      <c r="TUR53" s="760">
        <f t="shared" si="255"/>
        <v>3.2245908576869692E+184</v>
      </c>
      <c r="TUS53" s="760">
        <f t="shared" si="255"/>
        <v>3.3213285834175784E+184</v>
      </c>
      <c r="TUT53" s="760">
        <f t="shared" si="255"/>
        <v>3.4209684409201055E+184</v>
      </c>
      <c r="TUU53" s="760">
        <f t="shared" ref="TUU53:TXF53" si="256">+TUT53*$C$53</f>
        <v>3.5235974941477087E+184</v>
      </c>
      <c r="TUV53" s="760">
        <f t="shared" si="256"/>
        <v>3.6293054189721397E+184</v>
      </c>
      <c r="TUW53" s="760">
        <f t="shared" si="256"/>
        <v>3.738184581541304E+184</v>
      </c>
      <c r="TUX53" s="760">
        <f t="shared" si="256"/>
        <v>3.8503301189875432E+184</v>
      </c>
      <c r="TUY53" s="760">
        <f t="shared" si="256"/>
        <v>3.9658400225571697E+184</v>
      </c>
      <c r="TUZ53" s="760">
        <f t="shared" si="256"/>
        <v>4.0848152232338848E+184</v>
      </c>
      <c r="TVA53" s="760">
        <f t="shared" si="256"/>
        <v>4.2073596799309016E+184</v>
      </c>
      <c r="TVB53" s="760">
        <f t="shared" si="256"/>
        <v>4.3335804703288289E+184</v>
      </c>
      <c r="TVC53" s="760">
        <f t="shared" si="256"/>
        <v>4.4635878844386939E+184</v>
      </c>
      <c r="TVD53" s="760">
        <f t="shared" si="256"/>
        <v>4.5974955209718548E+184</v>
      </c>
      <c r="TVE53" s="760">
        <f t="shared" si="256"/>
        <v>4.7354203866010104E+184</v>
      </c>
      <c r="TVF53" s="760">
        <f t="shared" si="256"/>
        <v>4.8774829981990409E+184</v>
      </c>
      <c r="TVG53" s="760">
        <f t="shared" si="256"/>
        <v>5.0238074881450123E+184</v>
      </c>
      <c r="TVH53" s="760">
        <f t="shared" si="256"/>
        <v>5.1745217127893631E+184</v>
      </c>
      <c r="TVI53" s="760">
        <f t="shared" si="256"/>
        <v>5.329757364173044E+184</v>
      </c>
      <c r="TVJ53" s="760">
        <f t="shared" si="256"/>
        <v>5.4896500850982354E+184</v>
      </c>
      <c r="TVK53" s="760">
        <f t="shared" si="256"/>
        <v>5.6543395876511825E+184</v>
      </c>
      <c r="TVL53" s="760">
        <f t="shared" si="256"/>
        <v>5.8239697752807178E+184</v>
      </c>
      <c r="TVM53" s="760">
        <f t="shared" si="256"/>
        <v>5.9986888685391393E+184</v>
      </c>
      <c r="TVN53" s="760">
        <f t="shared" si="256"/>
        <v>6.1786495345953135E+184</v>
      </c>
      <c r="TVO53" s="760">
        <f t="shared" si="256"/>
        <v>6.3640090206331733E+184</v>
      </c>
      <c r="TVP53" s="760">
        <f t="shared" si="256"/>
        <v>6.5549292912521685E+184</v>
      </c>
      <c r="TVQ53" s="760">
        <f t="shared" si="256"/>
        <v>6.7515771699897339E+184</v>
      </c>
      <c r="TVR53" s="760">
        <f t="shared" si="256"/>
        <v>6.9541244850894255E+184</v>
      </c>
      <c r="TVS53" s="760">
        <f t="shared" si="256"/>
        <v>7.1627482196421083E+184</v>
      </c>
      <c r="TVT53" s="760">
        <f t="shared" si="256"/>
        <v>7.3776306662313714E+184</v>
      </c>
      <c r="TVU53" s="760">
        <f t="shared" si="256"/>
        <v>7.5989595862183129E+184</v>
      </c>
      <c r="TVV53" s="760">
        <f t="shared" si="256"/>
        <v>7.8269283738048618E+184</v>
      </c>
      <c r="TVW53" s="760">
        <f t="shared" si="256"/>
        <v>8.0617362250190077E+184</v>
      </c>
      <c r="TVX53" s="760">
        <f t="shared" si="256"/>
        <v>8.3035883117695777E+184</v>
      </c>
      <c r="TVY53" s="760">
        <f t="shared" si="256"/>
        <v>8.5526959611226658E+184</v>
      </c>
      <c r="TVZ53" s="760">
        <f t="shared" si="256"/>
        <v>8.8092768399563464E+184</v>
      </c>
      <c r="TWA53" s="760">
        <f t="shared" si="256"/>
        <v>9.0735551451550365E+184</v>
      </c>
      <c r="TWB53" s="760">
        <f t="shared" si="256"/>
        <v>9.3457617995096883E+184</v>
      </c>
      <c r="TWC53" s="760">
        <f t="shared" si="256"/>
        <v>9.6261346534949797E+184</v>
      </c>
      <c r="TWD53" s="760">
        <f t="shared" si="256"/>
        <v>9.91491869309983E+184</v>
      </c>
      <c r="TWE53" s="760">
        <f t="shared" si="256"/>
        <v>1.0212366253892825E+185</v>
      </c>
      <c r="TWF53" s="760">
        <f t="shared" si="256"/>
        <v>1.051873724150961E+185</v>
      </c>
      <c r="TWG53" s="760">
        <f t="shared" si="256"/>
        <v>1.0834299358754899E+185</v>
      </c>
      <c r="TWH53" s="760">
        <f t="shared" si="256"/>
        <v>1.1159328339517545E+185</v>
      </c>
      <c r="TWI53" s="760">
        <f t="shared" si="256"/>
        <v>1.1494108189703072E+185</v>
      </c>
      <c r="TWJ53" s="760">
        <f t="shared" si="256"/>
        <v>1.1838931435394164E+185</v>
      </c>
      <c r="TWK53" s="760">
        <f t="shared" si="256"/>
        <v>1.2194099378455989E+185</v>
      </c>
      <c r="TWL53" s="760">
        <f t="shared" si="256"/>
        <v>1.255992235980967E+185</v>
      </c>
      <c r="TWM53" s="760">
        <f t="shared" si="256"/>
        <v>1.2936720030603959E+185</v>
      </c>
      <c r="TWN53" s="760">
        <f t="shared" si="256"/>
        <v>1.3324821631522079E+185</v>
      </c>
      <c r="TWO53" s="760">
        <f t="shared" si="256"/>
        <v>1.372456628046774E+185</v>
      </c>
      <c r="TWP53" s="760">
        <f t="shared" si="256"/>
        <v>1.4136303268881774E+185</v>
      </c>
      <c r="TWQ53" s="760">
        <f t="shared" si="256"/>
        <v>1.4560392366948229E+185</v>
      </c>
      <c r="TWR53" s="760">
        <f t="shared" si="256"/>
        <v>1.4997204137956675E+185</v>
      </c>
      <c r="TWS53" s="760">
        <f t="shared" si="256"/>
        <v>1.5447120262095375E+185</v>
      </c>
      <c r="TWT53" s="760">
        <f t="shared" si="256"/>
        <v>1.5910533869958235E+185</v>
      </c>
      <c r="TWU53" s="760">
        <f t="shared" si="256"/>
        <v>1.6387849886056982E+185</v>
      </c>
      <c r="TWV53" s="760">
        <f t="shared" si="256"/>
        <v>1.6879485382638693E+185</v>
      </c>
      <c r="TWW53" s="760">
        <f t="shared" si="256"/>
        <v>1.7385869944117854E+185</v>
      </c>
      <c r="TWX53" s="760">
        <f t="shared" si="256"/>
        <v>1.7907446042441389E+185</v>
      </c>
      <c r="TWY53" s="760">
        <f t="shared" si="256"/>
        <v>1.8444669423714631E+185</v>
      </c>
      <c r="TWZ53" s="760">
        <f t="shared" si="256"/>
        <v>1.899800950642607E+185</v>
      </c>
      <c r="TXA53" s="760">
        <f t="shared" si="256"/>
        <v>1.9567949791618853E+185</v>
      </c>
      <c r="TXB53" s="760">
        <f t="shared" si="256"/>
        <v>2.0154988285367418E+185</v>
      </c>
      <c r="TXC53" s="760">
        <f t="shared" si="256"/>
        <v>2.075963793392844E+185</v>
      </c>
      <c r="TXD53" s="760">
        <f t="shared" si="256"/>
        <v>2.1382427071946293E+185</v>
      </c>
      <c r="TXE53" s="760">
        <f t="shared" si="256"/>
        <v>2.2023899884104683E+185</v>
      </c>
      <c r="TXF53" s="760">
        <f t="shared" si="256"/>
        <v>2.2684616880627824E+185</v>
      </c>
      <c r="TXG53" s="760">
        <f t="shared" ref="TXG53:TZR53" si="257">+TXF53*$C$53</f>
        <v>2.3365155387046658E+185</v>
      </c>
      <c r="TXH53" s="760">
        <f t="shared" si="257"/>
        <v>2.4066110048658058E+185</v>
      </c>
      <c r="TXI53" s="760">
        <f t="shared" si="257"/>
        <v>2.4788093350117799E+185</v>
      </c>
      <c r="TXJ53" s="760">
        <f t="shared" si="257"/>
        <v>2.5531736150621333E+185</v>
      </c>
      <c r="TXK53" s="760">
        <f t="shared" si="257"/>
        <v>2.6297688235139974E+185</v>
      </c>
      <c r="TXL53" s="760">
        <f t="shared" si="257"/>
        <v>2.7086618882194174E+185</v>
      </c>
      <c r="TXM53" s="760">
        <f t="shared" si="257"/>
        <v>2.7899217448660002E+185</v>
      </c>
      <c r="TXN53" s="760">
        <f t="shared" si="257"/>
        <v>2.8736193972119805E+185</v>
      </c>
      <c r="TXO53" s="760">
        <f t="shared" si="257"/>
        <v>2.9598279791283401E+185</v>
      </c>
      <c r="TXP53" s="760">
        <f t="shared" si="257"/>
        <v>3.0486228185021906E+185</v>
      </c>
      <c r="TXQ53" s="760">
        <f t="shared" si="257"/>
        <v>3.1400815030572563E+185</v>
      </c>
      <c r="TXR53" s="760">
        <f t="shared" si="257"/>
        <v>3.2342839481489743E+185</v>
      </c>
      <c r="TXS53" s="760">
        <f t="shared" si="257"/>
        <v>3.3313124665934438E+185</v>
      </c>
      <c r="TXT53" s="760">
        <f t="shared" si="257"/>
        <v>3.4312518405912473E+185</v>
      </c>
      <c r="TXU53" s="760">
        <f t="shared" si="257"/>
        <v>3.5341893958089848E+185</v>
      </c>
      <c r="TXV53" s="760">
        <f t="shared" si="257"/>
        <v>3.6402150776832545E+185</v>
      </c>
      <c r="TXW53" s="760">
        <f t="shared" si="257"/>
        <v>3.7494215300137521E+185</v>
      </c>
      <c r="TXX53" s="760">
        <f t="shared" si="257"/>
        <v>3.8619041759141651E+185</v>
      </c>
      <c r="TXY53" s="760">
        <f t="shared" si="257"/>
        <v>3.97776130119159E+185</v>
      </c>
      <c r="TXZ53" s="760">
        <f t="shared" si="257"/>
        <v>4.0970941402273378E+185</v>
      </c>
      <c r="TYA53" s="760">
        <f t="shared" si="257"/>
        <v>4.2200069644341584E+185</v>
      </c>
      <c r="TYB53" s="760">
        <f t="shared" si="257"/>
        <v>4.3466071733671832E+185</v>
      </c>
      <c r="TYC53" s="760">
        <f t="shared" si="257"/>
        <v>4.4770053885681986E+185</v>
      </c>
      <c r="TYD53" s="760">
        <f t="shared" si="257"/>
        <v>4.6113155502252449E+185</v>
      </c>
      <c r="TYE53" s="760">
        <f t="shared" si="257"/>
        <v>4.7496550167320024E+185</v>
      </c>
      <c r="TYF53" s="760">
        <f t="shared" si="257"/>
        <v>4.8921446672339624E+185</v>
      </c>
      <c r="TYG53" s="760">
        <f t="shared" si="257"/>
        <v>5.0389090072509815E+185</v>
      </c>
      <c r="TYH53" s="760">
        <f t="shared" si="257"/>
        <v>5.1900762774685112E+185</v>
      </c>
      <c r="TYI53" s="760">
        <f t="shared" si="257"/>
        <v>5.3457785657925669E+185</v>
      </c>
      <c r="TYJ53" s="760">
        <f t="shared" si="257"/>
        <v>5.5061519227663439E+185</v>
      </c>
      <c r="TYK53" s="760">
        <f t="shared" si="257"/>
        <v>5.6713364804493344E+185</v>
      </c>
      <c r="TYL53" s="760">
        <f t="shared" si="257"/>
        <v>5.841476574862815E+185</v>
      </c>
      <c r="TYM53" s="760">
        <f t="shared" si="257"/>
        <v>6.0167208721086997E+185</v>
      </c>
      <c r="TYN53" s="760">
        <f t="shared" si="257"/>
        <v>6.1972224982719612E+185</v>
      </c>
      <c r="TYO53" s="760">
        <f t="shared" si="257"/>
        <v>6.3831391732201201E+185</v>
      </c>
      <c r="TYP53" s="760">
        <f t="shared" si="257"/>
        <v>6.5746333484167243E+185</v>
      </c>
      <c r="TYQ53" s="760">
        <f t="shared" si="257"/>
        <v>6.7718723488692258E+185</v>
      </c>
      <c r="TYR53" s="760">
        <f t="shared" si="257"/>
        <v>6.9750285193353024E+185</v>
      </c>
      <c r="TYS53" s="760">
        <f t="shared" si="257"/>
        <v>7.1842793749153618E+185</v>
      </c>
      <c r="TYT53" s="760">
        <f t="shared" si="257"/>
        <v>7.3998077561628227E+185</v>
      </c>
      <c r="TYU53" s="760">
        <f t="shared" si="257"/>
        <v>7.6218019888477072E+185</v>
      </c>
      <c r="TYV53" s="760">
        <f t="shared" si="257"/>
        <v>7.850456048513138E+185</v>
      </c>
      <c r="TYW53" s="760">
        <f t="shared" si="257"/>
        <v>8.0859697299685323E+185</v>
      </c>
      <c r="TYX53" s="760">
        <f t="shared" si="257"/>
        <v>8.328548821867589E+185</v>
      </c>
      <c r="TYY53" s="760">
        <f t="shared" si="257"/>
        <v>8.5784052865236174E+185</v>
      </c>
      <c r="TYZ53" s="760">
        <f t="shared" si="257"/>
        <v>8.835757445119326E+185</v>
      </c>
      <c r="TZA53" s="760">
        <f t="shared" si="257"/>
        <v>9.1008301684729063E+185</v>
      </c>
      <c r="TZB53" s="760">
        <f t="shared" si="257"/>
        <v>9.3738550735270932E+185</v>
      </c>
      <c r="TZC53" s="760">
        <f t="shared" si="257"/>
        <v>9.6550707257329057E+185</v>
      </c>
      <c r="TZD53" s="760">
        <f t="shared" si="257"/>
        <v>9.9447228475048935E+185</v>
      </c>
      <c r="TZE53" s="760">
        <f t="shared" si="257"/>
        <v>1.0243064532930041E+186</v>
      </c>
      <c r="TZF53" s="760">
        <f t="shared" si="257"/>
        <v>1.0550356468917942E+186</v>
      </c>
      <c r="TZG53" s="760">
        <f t="shared" si="257"/>
        <v>1.086686716298548E+186</v>
      </c>
      <c r="TZH53" s="760">
        <f t="shared" si="257"/>
        <v>1.1192873177875046E+186</v>
      </c>
      <c r="TZI53" s="760">
        <f t="shared" si="257"/>
        <v>1.1528659373211296E+186</v>
      </c>
      <c r="TZJ53" s="760">
        <f t="shared" si="257"/>
        <v>1.1874519154407635E+186</v>
      </c>
      <c r="TZK53" s="760">
        <f t="shared" si="257"/>
        <v>1.2230754729039863E+186</v>
      </c>
      <c r="TZL53" s="760">
        <f t="shared" si="257"/>
        <v>1.2597677370911061E+186</v>
      </c>
      <c r="TZM53" s="760">
        <f t="shared" si="257"/>
        <v>1.2975607692038392E+186</v>
      </c>
      <c r="TZN53" s="760">
        <f t="shared" si="257"/>
        <v>1.3364875922799544E+186</v>
      </c>
      <c r="TZO53" s="760">
        <f t="shared" si="257"/>
        <v>1.3765822200483531E+186</v>
      </c>
      <c r="TZP53" s="760">
        <f t="shared" si="257"/>
        <v>1.4178796866498037E+186</v>
      </c>
      <c r="TZQ53" s="760">
        <f t="shared" si="257"/>
        <v>1.4604160772492979E+186</v>
      </c>
      <c r="TZR53" s="760">
        <f t="shared" si="257"/>
        <v>1.504228559566777E+186</v>
      </c>
      <c r="TZS53" s="760">
        <f t="shared" ref="TZS53:UCD53" si="258">+TZR53*$C$53</f>
        <v>1.5493554163537802E+186</v>
      </c>
      <c r="TZT53" s="760">
        <f t="shared" si="258"/>
        <v>1.5958360788443935E+186</v>
      </c>
      <c r="TZU53" s="760">
        <f t="shared" si="258"/>
        <v>1.6437111612097254E+186</v>
      </c>
      <c r="TZV53" s="760">
        <f t="shared" si="258"/>
        <v>1.6930224960460173E+186</v>
      </c>
      <c r="TZW53" s="760">
        <f t="shared" si="258"/>
        <v>1.743813170927398E+186</v>
      </c>
      <c r="TZX53" s="760">
        <f t="shared" si="258"/>
        <v>1.7961275660552199E+186</v>
      </c>
      <c r="TZY53" s="760">
        <f t="shared" si="258"/>
        <v>1.8500113930368765E+186</v>
      </c>
      <c r="TZZ53" s="760">
        <f t="shared" si="258"/>
        <v>1.9055117348279829E+186</v>
      </c>
      <c r="UAA53" s="760">
        <f t="shared" si="258"/>
        <v>1.9626770868728225E+186</v>
      </c>
      <c r="UAB53" s="760">
        <f t="shared" si="258"/>
        <v>2.0215573994790072E+186</v>
      </c>
      <c r="UAC53" s="760">
        <f t="shared" si="258"/>
        <v>2.0822041214633775E+186</v>
      </c>
      <c r="UAD53" s="760">
        <f t="shared" si="258"/>
        <v>2.1446702451072789E+186</v>
      </c>
      <c r="UAE53" s="760">
        <f t="shared" si="258"/>
        <v>2.2090103524604971E+186</v>
      </c>
      <c r="UAF53" s="760">
        <f t="shared" si="258"/>
        <v>2.2752806630343122E+186</v>
      </c>
      <c r="UAG53" s="760">
        <f t="shared" si="258"/>
        <v>2.3435390829253416E+186</v>
      </c>
      <c r="UAH53" s="760">
        <f t="shared" si="258"/>
        <v>2.413845255413102E+186</v>
      </c>
      <c r="UAI53" s="760">
        <f t="shared" si="258"/>
        <v>2.4862606130754951E+186</v>
      </c>
      <c r="UAJ53" s="760">
        <f t="shared" si="258"/>
        <v>2.5608484314677598E+186</v>
      </c>
      <c r="UAK53" s="760">
        <f t="shared" si="258"/>
        <v>2.6376738844117925E+186</v>
      </c>
      <c r="UAL53" s="760">
        <f t="shared" si="258"/>
        <v>2.7168041009441463E+186</v>
      </c>
      <c r="UAM53" s="760">
        <f t="shared" si="258"/>
        <v>2.7983082239724705E+186</v>
      </c>
      <c r="UAN53" s="760">
        <f t="shared" si="258"/>
        <v>2.8822574706916448E+186</v>
      </c>
      <c r="UAO53" s="760">
        <f t="shared" si="258"/>
        <v>2.9687251948123943E+186</v>
      </c>
      <c r="UAP53" s="760">
        <f t="shared" si="258"/>
        <v>3.0577869506567663E+186</v>
      </c>
      <c r="UAQ53" s="760">
        <f t="shared" si="258"/>
        <v>3.1495205591764693E+186</v>
      </c>
      <c r="UAR53" s="760">
        <f t="shared" si="258"/>
        <v>3.2440061759517635E+186</v>
      </c>
      <c r="UAS53" s="760">
        <f t="shared" si="258"/>
        <v>3.3413263612303163E+186</v>
      </c>
      <c r="UAT53" s="760">
        <f t="shared" si="258"/>
        <v>3.4415661520672259E+186</v>
      </c>
      <c r="UAU53" s="760">
        <f t="shared" si="258"/>
        <v>3.544813136629243E+186</v>
      </c>
      <c r="UAV53" s="760">
        <f t="shared" si="258"/>
        <v>3.6511575307281203E+186</v>
      </c>
      <c r="UAW53" s="760">
        <f t="shared" si="258"/>
        <v>3.7606922566499639E+186</v>
      </c>
      <c r="UAX53" s="760">
        <f t="shared" si="258"/>
        <v>3.8735130243494628E+186</v>
      </c>
      <c r="UAY53" s="760">
        <f t="shared" si="258"/>
        <v>3.989718415079947E+186</v>
      </c>
      <c r="UAZ53" s="760">
        <f t="shared" si="258"/>
        <v>4.1094099675323453E+186</v>
      </c>
      <c r="UBA53" s="760">
        <f t="shared" si="258"/>
        <v>4.2326922665583158E+186</v>
      </c>
      <c r="UBB53" s="760">
        <f t="shared" si="258"/>
        <v>4.3596730345550655E+186</v>
      </c>
      <c r="UBC53" s="760">
        <f t="shared" si="258"/>
        <v>4.4904632255917177E+186</v>
      </c>
      <c r="UBD53" s="760">
        <f t="shared" si="258"/>
        <v>4.6251771223594696E+186</v>
      </c>
      <c r="UBE53" s="760">
        <f t="shared" si="258"/>
        <v>4.7639324360302542E+186</v>
      </c>
      <c r="UBF53" s="760">
        <f t="shared" si="258"/>
        <v>4.9068504091111622E+186</v>
      </c>
      <c r="UBG53" s="760">
        <f t="shared" si="258"/>
        <v>5.0540559213844971E+186</v>
      </c>
      <c r="UBH53" s="760">
        <f t="shared" si="258"/>
        <v>5.2056775990260325E+186</v>
      </c>
      <c r="UBI53" s="760">
        <f t="shared" si="258"/>
        <v>5.3618479269968138E+186</v>
      </c>
      <c r="UBJ53" s="760">
        <f t="shared" si="258"/>
        <v>5.5227033648067183E+186</v>
      </c>
      <c r="UBK53" s="760">
        <f t="shared" si="258"/>
        <v>5.6883844657509204E+186</v>
      </c>
      <c r="UBL53" s="760">
        <f t="shared" si="258"/>
        <v>5.8590359997234482E+186</v>
      </c>
      <c r="UBM53" s="760">
        <f t="shared" si="258"/>
        <v>6.0348070797151519E+186</v>
      </c>
      <c r="UBN53" s="760">
        <f t="shared" si="258"/>
        <v>6.2158512921066069E+186</v>
      </c>
      <c r="UBO53" s="760">
        <f t="shared" si="258"/>
        <v>6.4023268308698057E+186</v>
      </c>
      <c r="UBP53" s="760">
        <f t="shared" si="258"/>
        <v>6.5943966357959004E+186</v>
      </c>
      <c r="UBQ53" s="760">
        <f t="shared" si="258"/>
        <v>6.7922285348697776E+186</v>
      </c>
      <c r="UBR53" s="760">
        <f t="shared" si="258"/>
        <v>6.9959953909158711E+186</v>
      </c>
      <c r="UBS53" s="760">
        <f t="shared" si="258"/>
        <v>7.2058752526433476E+186</v>
      </c>
      <c r="UBT53" s="760">
        <f t="shared" si="258"/>
        <v>7.4220515102226478E+186</v>
      </c>
      <c r="UBU53" s="760">
        <f t="shared" si="258"/>
        <v>7.6447130555293278E+186</v>
      </c>
      <c r="UBV53" s="760">
        <f t="shared" si="258"/>
        <v>7.8740544471952075E+186</v>
      </c>
      <c r="UBW53" s="760">
        <f t="shared" si="258"/>
        <v>8.1102760806110635E+186</v>
      </c>
      <c r="UBX53" s="760">
        <f t="shared" si="258"/>
        <v>8.3535843630293958E+186</v>
      </c>
      <c r="UBY53" s="760">
        <f t="shared" si="258"/>
        <v>8.6041918939202777E+186</v>
      </c>
      <c r="UBZ53" s="760">
        <f t="shared" si="258"/>
        <v>8.8623176507378866E+186</v>
      </c>
      <c r="UCA53" s="760">
        <f t="shared" si="258"/>
        <v>9.1281871802600234E+186</v>
      </c>
      <c r="UCB53" s="760">
        <f t="shared" si="258"/>
        <v>9.4020327956678235E+186</v>
      </c>
      <c r="UCC53" s="760">
        <f t="shared" si="258"/>
        <v>9.6840937795378592E+186</v>
      </c>
      <c r="UCD53" s="760">
        <f t="shared" si="258"/>
        <v>9.9746165929239951E+186</v>
      </c>
      <c r="UCE53" s="760">
        <f t="shared" ref="UCE53:UEP53" si="259">+UCD53*$C$53</f>
        <v>1.0273855090711715E+187</v>
      </c>
      <c r="UCF53" s="760">
        <f t="shared" si="259"/>
        <v>1.0582070743433067E+187</v>
      </c>
      <c r="UCG53" s="760">
        <f t="shared" si="259"/>
        <v>1.0899532865736059E+187</v>
      </c>
      <c r="UCH53" s="760">
        <f t="shared" si="259"/>
        <v>1.1226518851708141E+187</v>
      </c>
      <c r="UCI53" s="760">
        <f t="shared" si="259"/>
        <v>1.1563314417259386E+187</v>
      </c>
      <c r="UCJ53" s="760">
        <f t="shared" si="259"/>
        <v>1.1910213849777167E+187</v>
      </c>
      <c r="UCK53" s="760">
        <f t="shared" si="259"/>
        <v>1.2267520265270483E+187</v>
      </c>
      <c r="UCL53" s="760">
        <f t="shared" si="259"/>
        <v>1.2635545873228598E+187</v>
      </c>
      <c r="UCM53" s="760">
        <f t="shared" si="259"/>
        <v>1.3014612249425457E+187</v>
      </c>
      <c r="UCN53" s="760">
        <f t="shared" si="259"/>
        <v>1.3405050616908222E+187</v>
      </c>
      <c r="UCO53" s="760">
        <f t="shared" si="259"/>
        <v>1.3807202135415468E+187</v>
      </c>
      <c r="UCP53" s="760">
        <f t="shared" si="259"/>
        <v>1.4221418199477932E+187</v>
      </c>
      <c r="UCQ53" s="760">
        <f t="shared" si="259"/>
        <v>1.464806074546227E+187</v>
      </c>
      <c r="UCR53" s="760">
        <f t="shared" si="259"/>
        <v>1.5087502567826139E+187</v>
      </c>
      <c r="UCS53" s="760">
        <f t="shared" si="259"/>
        <v>1.5540127644860923E+187</v>
      </c>
      <c r="UCT53" s="760">
        <f t="shared" si="259"/>
        <v>1.6006331474206751E+187</v>
      </c>
      <c r="UCU53" s="760">
        <f t="shared" si="259"/>
        <v>1.6486521418432955E+187</v>
      </c>
      <c r="UCV53" s="760">
        <f t="shared" si="259"/>
        <v>1.6981117060985944E+187</v>
      </c>
      <c r="UCW53" s="760">
        <f t="shared" si="259"/>
        <v>1.7490550572815523E+187</v>
      </c>
      <c r="UCX53" s="760">
        <f t="shared" si="259"/>
        <v>1.8015267089999991E+187</v>
      </c>
      <c r="UCY53" s="760">
        <f t="shared" si="259"/>
        <v>1.8555725102699992E+187</v>
      </c>
      <c r="UCZ53" s="760">
        <f t="shared" si="259"/>
        <v>1.911239685578099E+187</v>
      </c>
      <c r="UDA53" s="760">
        <f t="shared" si="259"/>
        <v>1.9685768761454422E+187</v>
      </c>
      <c r="UDB53" s="760">
        <f t="shared" si="259"/>
        <v>2.0276341824298054E+187</v>
      </c>
      <c r="UDC53" s="760">
        <f t="shared" si="259"/>
        <v>2.0884632079026998E+187</v>
      </c>
      <c r="UDD53" s="760">
        <f t="shared" si="259"/>
        <v>2.1511171041397808E+187</v>
      </c>
      <c r="UDE53" s="760">
        <f t="shared" si="259"/>
        <v>2.2156506172639744E+187</v>
      </c>
      <c r="UDF53" s="760">
        <f t="shared" si="259"/>
        <v>2.2821201357818937E+187</v>
      </c>
      <c r="UDG53" s="760">
        <f t="shared" si="259"/>
        <v>2.3505837398553508E+187</v>
      </c>
      <c r="UDH53" s="760">
        <f t="shared" si="259"/>
        <v>2.4211012520510112E+187</v>
      </c>
      <c r="UDI53" s="760">
        <f t="shared" si="259"/>
        <v>2.4937342896125416E+187</v>
      </c>
      <c r="UDJ53" s="760">
        <f t="shared" si="259"/>
        <v>2.568546318300918E+187</v>
      </c>
      <c r="UDK53" s="760">
        <f t="shared" si="259"/>
        <v>2.6456027078499456E+187</v>
      </c>
      <c r="UDL53" s="760">
        <f t="shared" si="259"/>
        <v>2.724970789085444E+187</v>
      </c>
      <c r="UDM53" s="760">
        <f t="shared" si="259"/>
        <v>2.8067199127580073E+187</v>
      </c>
      <c r="UDN53" s="760">
        <f t="shared" si="259"/>
        <v>2.8909215101407476E+187</v>
      </c>
      <c r="UDO53" s="760">
        <f t="shared" si="259"/>
        <v>2.9776491554449702E+187</v>
      </c>
      <c r="UDP53" s="760">
        <f t="shared" si="259"/>
        <v>3.0669786301083193E+187</v>
      </c>
      <c r="UDQ53" s="760">
        <f t="shared" si="259"/>
        <v>3.1589879890115691E+187</v>
      </c>
      <c r="UDR53" s="760">
        <f t="shared" si="259"/>
        <v>3.2537576286819161E+187</v>
      </c>
      <c r="UDS53" s="760">
        <f t="shared" si="259"/>
        <v>3.3513703575423736E+187</v>
      </c>
      <c r="UDT53" s="760">
        <f t="shared" si="259"/>
        <v>3.4519114682686448E+187</v>
      </c>
      <c r="UDU53" s="760">
        <f t="shared" si="259"/>
        <v>3.5554688123167042E+187</v>
      </c>
      <c r="UDV53" s="760">
        <f t="shared" si="259"/>
        <v>3.6621328766862057E+187</v>
      </c>
      <c r="UDW53" s="760">
        <f t="shared" si="259"/>
        <v>3.7719968629867919E+187</v>
      </c>
      <c r="UDX53" s="760">
        <f t="shared" si="259"/>
        <v>3.885156768876396E+187</v>
      </c>
      <c r="UDY53" s="760">
        <f t="shared" si="259"/>
        <v>4.0017114719426882E+187</v>
      </c>
      <c r="UDZ53" s="760">
        <f t="shared" si="259"/>
        <v>4.1217628161009691E+187</v>
      </c>
      <c r="UEA53" s="760">
        <f t="shared" si="259"/>
        <v>4.2454157005839982E+187</v>
      </c>
      <c r="UEB53" s="760">
        <f t="shared" si="259"/>
        <v>4.3727781716015182E+187</v>
      </c>
      <c r="UEC53" s="760">
        <f t="shared" si="259"/>
        <v>4.503961516749564E+187</v>
      </c>
      <c r="UED53" s="760">
        <f t="shared" si="259"/>
        <v>4.6390803622520511E+187</v>
      </c>
      <c r="UEE53" s="760">
        <f t="shared" si="259"/>
        <v>4.778252773119613E+187</v>
      </c>
      <c r="UEF53" s="760">
        <f t="shared" si="259"/>
        <v>4.9216003563132015E+187</v>
      </c>
      <c r="UEG53" s="760">
        <f t="shared" si="259"/>
        <v>5.0692483670025975E+187</v>
      </c>
      <c r="UEH53" s="760">
        <f t="shared" si="259"/>
        <v>5.2213258180126753E+187</v>
      </c>
      <c r="UEI53" s="760">
        <f t="shared" si="259"/>
        <v>5.3779655925530555E+187</v>
      </c>
      <c r="UEJ53" s="760">
        <f t="shared" si="259"/>
        <v>5.5393045603296477E+187</v>
      </c>
      <c r="UEK53" s="760">
        <f t="shared" si="259"/>
        <v>5.705483697139537E+187</v>
      </c>
      <c r="UEL53" s="760">
        <f t="shared" si="259"/>
        <v>5.8766482080537235E+187</v>
      </c>
      <c r="UEM53" s="760">
        <f t="shared" si="259"/>
        <v>6.0529476542953353E+187</v>
      </c>
      <c r="UEN53" s="760">
        <f t="shared" si="259"/>
        <v>6.2345360839241954E+187</v>
      </c>
      <c r="UEO53" s="760">
        <f t="shared" si="259"/>
        <v>6.4215721664419214E+187</v>
      </c>
      <c r="UEP53" s="760">
        <f t="shared" si="259"/>
        <v>6.6142193314351794E+187</v>
      </c>
      <c r="UEQ53" s="760">
        <f t="shared" ref="UEQ53:UHB53" si="260">+UEP53*$C$53</f>
        <v>6.8126459113782352E+187</v>
      </c>
      <c r="UER53" s="760">
        <f t="shared" si="260"/>
        <v>7.0170252887195828E+187</v>
      </c>
      <c r="UES53" s="760">
        <f t="shared" si="260"/>
        <v>7.22753604738117E+187</v>
      </c>
      <c r="UET53" s="760">
        <f t="shared" si="260"/>
        <v>7.4443621288026049E+187</v>
      </c>
      <c r="UEU53" s="760">
        <f t="shared" si="260"/>
        <v>7.6676929926666833E+187</v>
      </c>
      <c r="UEV53" s="760">
        <f t="shared" si="260"/>
        <v>7.8977237824466843E+187</v>
      </c>
      <c r="UEW53" s="760">
        <f t="shared" si="260"/>
        <v>8.1346554959200855E+187</v>
      </c>
      <c r="UEX53" s="760">
        <f t="shared" si="260"/>
        <v>8.3786951607976879E+187</v>
      </c>
      <c r="UEY53" s="760">
        <f t="shared" si="260"/>
        <v>8.6300560156216188E+187</v>
      </c>
      <c r="UEZ53" s="760">
        <f t="shared" si="260"/>
        <v>8.8889576960902675E+187</v>
      </c>
      <c r="UFA53" s="760">
        <f t="shared" si="260"/>
        <v>9.1556264269729765E+187</v>
      </c>
      <c r="UFB53" s="760">
        <f t="shared" si="260"/>
        <v>9.4302952197821666E+187</v>
      </c>
      <c r="UFC53" s="760">
        <f t="shared" si="260"/>
        <v>9.7132040763756323E+187</v>
      </c>
      <c r="UFD53" s="760">
        <f t="shared" si="260"/>
        <v>1.0004600198666901E+188</v>
      </c>
      <c r="UFE53" s="760">
        <f t="shared" si="260"/>
        <v>1.0304738204626908E+188</v>
      </c>
      <c r="UFF53" s="760">
        <f t="shared" si="260"/>
        <v>1.0613880350765716E+188</v>
      </c>
      <c r="UFG53" s="760">
        <f t="shared" si="260"/>
        <v>1.0932296761288687E+188</v>
      </c>
      <c r="UFH53" s="760">
        <f t="shared" si="260"/>
        <v>1.1260265664127348E+188</v>
      </c>
      <c r="UFI53" s="760">
        <f t="shared" si="260"/>
        <v>1.1598073634051168E+188</v>
      </c>
      <c r="UFJ53" s="760">
        <f t="shared" si="260"/>
        <v>1.1946015843072703E+188</v>
      </c>
      <c r="UFK53" s="760">
        <f t="shared" si="260"/>
        <v>1.2304396318364884E+188</v>
      </c>
      <c r="UFL53" s="760">
        <f t="shared" si="260"/>
        <v>1.2673528207915831E+188</v>
      </c>
      <c r="UFM53" s="760">
        <f t="shared" si="260"/>
        <v>1.3053734054153307E+188</v>
      </c>
      <c r="UFN53" s="760">
        <f t="shared" si="260"/>
        <v>1.3445346075777907E+188</v>
      </c>
      <c r="UFO53" s="760">
        <f t="shared" si="260"/>
        <v>1.3848706458051245E+188</v>
      </c>
      <c r="UFP53" s="760">
        <f t="shared" si="260"/>
        <v>1.4264167651792783E+188</v>
      </c>
      <c r="UFQ53" s="760">
        <f t="shared" si="260"/>
        <v>1.4692092681346567E+188</v>
      </c>
      <c r="UFR53" s="760">
        <f t="shared" si="260"/>
        <v>1.5132855461786964E+188</v>
      </c>
      <c r="UFS53" s="760">
        <f t="shared" si="260"/>
        <v>1.5586841125640573E+188</v>
      </c>
      <c r="UFT53" s="760">
        <f t="shared" si="260"/>
        <v>1.6054446359409792E+188</v>
      </c>
      <c r="UFU53" s="760">
        <f t="shared" si="260"/>
        <v>1.6536079750192087E+188</v>
      </c>
      <c r="UFV53" s="760">
        <f t="shared" si="260"/>
        <v>1.7032162142697848E+188</v>
      </c>
      <c r="UFW53" s="760">
        <f t="shared" si="260"/>
        <v>1.7543127006978783E+188</v>
      </c>
      <c r="UFX53" s="760">
        <f t="shared" si="260"/>
        <v>1.8069420817188147E+188</v>
      </c>
      <c r="UFY53" s="760">
        <f t="shared" si="260"/>
        <v>1.8611503441703793E+188</v>
      </c>
      <c r="UFZ53" s="760">
        <f t="shared" si="260"/>
        <v>1.9169848544954909E+188</v>
      </c>
      <c r="UGA53" s="760">
        <f t="shared" si="260"/>
        <v>1.9744944001303556E+188</v>
      </c>
      <c r="UGB53" s="760">
        <f t="shared" si="260"/>
        <v>2.0337292321342663E+188</v>
      </c>
      <c r="UGC53" s="760">
        <f t="shared" si="260"/>
        <v>2.0947411090982943E+188</v>
      </c>
      <c r="UGD53" s="760">
        <f t="shared" si="260"/>
        <v>2.1575833423712433E+188</v>
      </c>
      <c r="UGE53" s="760">
        <f t="shared" si="260"/>
        <v>2.2223108426423806E+188</v>
      </c>
      <c r="UGF53" s="760">
        <f t="shared" si="260"/>
        <v>2.2889801679216519E+188</v>
      </c>
      <c r="UGG53" s="760">
        <f t="shared" si="260"/>
        <v>2.3576495729593017E+188</v>
      </c>
      <c r="UGH53" s="760">
        <f t="shared" si="260"/>
        <v>2.4283790601480808E+188</v>
      </c>
      <c r="UGI53" s="760">
        <f t="shared" si="260"/>
        <v>2.5012304319525232E+188</v>
      </c>
      <c r="UGJ53" s="760">
        <f t="shared" si="260"/>
        <v>2.5762673449110989E+188</v>
      </c>
      <c r="UGK53" s="760">
        <f t="shared" si="260"/>
        <v>2.6535553652584318E+188</v>
      </c>
      <c r="UGL53" s="760">
        <f t="shared" si="260"/>
        <v>2.7331620262161847E+188</v>
      </c>
      <c r="UGM53" s="760">
        <f t="shared" si="260"/>
        <v>2.8151568870026702E+188</v>
      </c>
      <c r="UGN53" s="760">
        <f t="shared" si="260"/>
        <v>2.8996115936127504E+188</v>
      </c>
      <c r="UGO53" s="760">
        <f t="shared" si="260"/>
        <v>2.986599941421133E+188</v>
      </c>
      <c r="UGP53" s="760">
        <f t="shared" si="260"/>
        <v>3.076197939663767E+188</v>
      </c>
      <c r="UGQ53" s="760">
        <f t="shared" si="260"/>
        <v>3.1684838778536798E+188</v>
      </c>
      <c r="UGR53" s="760">
        <f t="shared" si="260"/>
        <v>3.2635383941892902E+188</v>
      </c>
      <c r="UGS53" s="760">
        <f t="shared" si="260"/>
        <v>3.3614445460149692E+188</v>
      </c>
      <c r="UGT53" s="760">
        <f t="shared" si="260"/>
        <v>3.4622878823954184E+188</v>
      </c>
      <c r="UGU53" s="760">
        <f t="shared" si="260"/>
        <v>3.5661565188672812E+188</v>
      </c>
      <c r="UGV53" s="760">
        <f t="shared" si="260"/>
        <v>3.6731412144332996E+188</v>
      </c>
      <c r="UGW53" s="760">
        <f t="shared" si="260"/>
        <v>3.7833354508662988E+188</v>
      </c>
      <c r="UGX53" s="760">
        <f t="shared" si="260"/>
        <v>3.8968355143922878E+188</v>
      </c>
      <c r="UGY53" s="760">
        <f t="shared" si="260"/>
        <v>4.0137405798240565E+188</v>
      </c>
      <c r="UGZ53" s="760">
        <f t="shared" si="260"/>
        <v>4.1341527972187783E+188</v>
      </c>
      <c r="UHA53" s="760">
        <f t="shared" si="260"/>
        <v>4.258177381135342E+188</v>
      </c>
      <c r="UHB53" s="760">
        <f t="shared" si="260"/>
        <v>4.3859227025694023E+188</v>
      </c>
      <c r="UHC53" s="760">
        <f t="shared" ref="UHC53:UJN53" si="261">+UHB53*$C$53</f>
        <v>4.5175003836464847E+188</v>
      </c>
      <c r="UHD53" s="760">
        <f t="shared" si="261"/>
        <v>4.6530253951558791E+188</v>
      </c>
      <c r="UHE53" s="760">
        <f t="shared" si="261"/>
        <v>4.7926161570105555E+188</v>
      </c>
      <c r="UHF53" s="760">
        <f t="shared" si="261"/>
        <v>4.9363946417208724E+188</v>
      </c>
      <c r="UHG53" s="760">
        <f t="shared" si="261"/>
        <v>5.0844864809724985E+188</v>
      </c>
      <c r="UHH53" s="760">
        <f t="shared" si="261"/>
        <v>5.2370210754016734E+188</v>
      </c>
      <c r="UHI53" s="760">
        <f t="shared" si="261"/>
        <v>5.3941317076637239E+188</v>
      </c>
      <c r="UHJ53" s="760">
        <f t="shared" si="261"/>
        <v>5.5559556588936359E+188</v>
      </c>
      <c r="UHK53" s="760">
        <f t="shared" si="261"/>
        <v>5.7226343286604452E+188</v>
      </c>
      <c r="UHL53" s="760">
        <f t="shared" si="261"/>
        <v>5.8943133585202585E+188</v>
      </c>
      <c r="UHM53" s="760">
        <f t="shared" si="261"/>
        <v>6.0711427592758667E+188</v>
      </c>
      <c r="UHN53" s="760">
        <f t="shared" si="261"/>
        <v>6.2532770420541433E+188</v>
      </c>
      <c r="UHO53" s="760">
        <f t="shared" si="261"/>
        <v>6.4408753533157676E+188</v>
      </c>
      <c r="UHP53" s="760">
        <f t="shared" si="261"/>
        <v>6.6341016139152411E+188</v>
      </c>
      <c r="UHQ53" s="760">
        <f t="shared" si="261"/>
        <v>6.8331246623326982E+188</v>
      </c>
      <c r="UHR53" s="760">
        <f t="shared" si="261"/>
        <v>7.0381184022026793E+188</v>
      </c>
      <c r="UHS53" s="760">
        <f t="shared" si="261"/>
        <v>7.2492619542687603E+188</v>
      </c>
      <c r="UHT53" s="760">
        <f t="shared" si="261"/>
        <v>7.4667398128968238E+188</v>
      </c>
      <c r="UHU53" s="760">
        <f t="shared" si="261"/>
        <v>7.6907420072837289E+188</v>
      </c>
      <c r="UHV53" s="760">
        <f t="shared" si="261"/>
        <v>7.9214642675022407E+188</v>
      </c>
      <c r="UHW53" s="760">
        <f t="shared" si="261"/>
        <v>8.1591081955273076E+188</v>
      </c>
      <c r="UHX53" s="760">
        <f t="shared" si="261"/>
        <v>8.4038814413931273E+188</v>
      </c>
      <c r="UHY53" s="760">
        <f t="shared" si="261"/>
        <v>8.6559978846349218E+188</v>
      </c>
      <c r="UHZ53" s="760">
        <f t="shared" si="261"/>
        <v>8.9156778211739696E+188</v>
      </c>
      <c r="UIA53" s="760">
        <f t="shared" si="261"/>
        <v>9.1831481558091885E+188</v>
      </c>
      <c r="UIB53" s="760">
        <f t="shared" si="261"/>
        <v>9.4586426004834642E+188</v>
      </c>
      <c r="UIC53" s="760">
        <f t="shared" si="261"/>
        <v>9.7424018784979689E+188</v>
      </c>
      <c r="UID53" s="760">
        <f t="shared" si="261"/>
        <v>1.0034673934852908E+189</v>
      </c>
      <c r="UIE53" s="760">
        <f t="shared" si="261"/>
        <v>1.0335714152898495E+189</v>
      </c>
      <c r="UIF53" s="760">
        <f t="shared" si="261"/>
        <v>1.0645785577485449E+189</v>
      </c>
      <c r="UIG53" s="760">
        <f t="shared" si="261"/>
        <v>1.0965159144810013E+189</v>
      </c>
      <c r="UIH53" s="760">
        <f t="shared" si="261"/>
        <v>1.1294113919154312E+189</v>
      </c>
      <c r="UII53" s="760">
        <f t="shared" si="261"/>
        <v>1.1632937336728942E+189</v>
      </c>
      <c r="UIJ53" s="760">
        <f t="shared" si="261"/>
        <v>1.1981925456830811E+189</v>
      </c>
      <c r="UIK53" s="760">
        <f t="shared" si="261"/>
        <v>1.2341383220535735E+189</v>
      </c>
      <c r="UIL53" s="760">
        <f t="shared" si="261"/>
        <v>1.2711624717151808E+189</v>
      </c>
      <c r="UIM53" s="760">
        <f t="shared" si="261"/>
        <v>1.3092973458666363E+189</v>
      </c>
      <c r="UIN53" s="760">
        <f t="shared" si="261"/>
        <v>1.3485762662426353E+189</v>
      </c>
      <c r="UIO53" s="760">
        <f t="shared" si="261"/>
        <v>1.3890335542299143E+189</v>
      </c>
      <c r="UIP53" s="760">
        <f t="shared" si="261"/>
        <v>1.4307045608568119E+189</v>
      </c>
      <c r="UIQ53" s="760">
        <f t="shared" si="261"/>
        <v>1.4736256976825162E+189</v>
      </c>
      <c r="UIR53" s="760">
        <f t="shared" si="261"/>
        <v>1.5178344686129918E+189</v>
      </c>
      <c r="UIS53" s="760">
        <f t="shared" si="261"/>
        <v>1.5633695026713815E+189</v>
      </c>
      <c r="UIT53" s="760">
        <f t="shared" si="261"/>
        <v>1.610270587751523E+189</v>
      </c>
      <c r="UIU53" s="760">
        <f t="shared" si="261"/>
        <v>1.6585787053840688E+189</v>
      </c>
      <c r="UIV53" s="760">
        <f t="shared" si="261"/>
        <v>1.7083360665455908E+189</v>
      </c>
      <c r="UIW53" s="760">
        <f t="shared" si="261"/>
        <v>1.7595861485419584E+189</v>
      </c>
      <c r="UIX53" s="760">
        <f t="shared" si="261"/>
        <v>1.8123737329982173E+189</v>
      </c>
      <c r="UIY53" s="760">
        <f t="shared" si="261"/>
        <v>1.8667449449881639E+189</v>
      </c>
      <c r="UIZ53" s="760">
        <f t="shared" si="261"/>
        <v>1.9227472933378088E+189</v>
      </c>
      <c r="UJA53" s="760">
        <f t="shared" si="261"/>
        <v>1.9804297121379431E+189</v>
      </c>
      <c r="UJB53" s="760">
        <f t="shared" si="261"/>
        <v>2.0398426035020814E+189</v>
      </c>
      <c r="UJC53" s="760">
        <f t="shared" si="261"/>
        <v>2.101037881607144E+189</v>
      </c>
      <c r="UJD53" s="760">
        <f t="shared" si="261"/>
        <v>2.1640690180553584E+189</v>
      </c>
      <c r="UJE53" s="760">
        <f t="shared" si="261"/>
        <v>2.2289910885970193E+189</v>
      </c>
      <c r="UJF53" s="760">
        <f t="shared" si="261"/>
        <v>2.2958608212549297E+189</v>
      </c>
      <c r="UJG53" s="760">
        <f t="shared" si="261"/>
        <v>2.3647366458925778E+189</v>
      </c>
      <c r="UJH53" s="760">
        <f t="shared" si="261"/>
        <v>2.4356787452693552E+189</v>
      </c>
      <c r="UJI53" s="760">
        <f t="shared" si="261"/>
        <v>2.508749107627436E+189</v>
      </c>
      <c r="UJJ53" s="760">
        <f t="shared" si="261"/>
        <v>2.5840115808562593E+189</v>
      </c>
      <c r="UJK53" s="760">
        <f t="shared" si="261"/>
        <v>2.661531928281947E+189</v>
      </c>
      <c r="UJL53" s="760">
        <f t="shared" si="261"/>
        <v>2.7413778861304053E+189</v>
      </c>
      <c r="UJM53" s="760">
        <f t="shared" si="261"/>
        <v>2.8236192227143178E+189</v>
      </c>
      <c r="UJN53" s="760">
        <f t="shared" si="261"/>
        <v>2.9083277993957474E+189</v>
      </c>
      <c r="UJO53" s="760">
        <f t="shared" ref="UJO53:ULZ53" si="262">+UJN53*$C$53</f>
        <v>2.9955776333776197E+189</v>
      </c>
      <c r="UJP53" s="760">
        <f t="shared" si="262"/>
        <v>3.0854449623789486E+189</v>
      </c>
      <c r="UJQ53" s="760">
        <f t="shared" si="262"/>
        <v>3.1780083112503173E+189</v>
      </c>
      <c r="UJR53" s="760">
        <f t="shared" si="262"/>
        <v>3.2733485605878267E+189</v>
      </c>
      <c r="UJS53" s="760">
        <f t="shared" si="262"/>
        <v>3.3715490174054618E+189</v>
      </c>
      <c r="UJT53" s="760">
        <f t="shared" si="262"/>
        <v>3.4726954879276257E+189</v>
      </c>
      <c r="UJU53" s="760">
        <f t="shared" si="262"/>
        <v>3.5768763525654546E+189</v>
      </c>
      <c r="UJV53" s="760">
        <f t="shared" si="262"/>
        <v>3.6841826431424181E+189</v>
      </c>
      <c r="UJW53" s="760">
        <f t="shared" si="262"/>
        <v>3.7947081224366909E+189</v>
      </c>
      <c r="UJX53" s="760">
        <f t="shared" si="262"/>
        <v>3.9085493661097916E+189</v>
      </c>
      <c r="UJY53" s="760">
        <f t="shared" si="262"/>
        <v>4.0258058470930857E+189</v>
      </c>
      <c r="UJZ53" s="760">
        <f t="shared" si="262"/>
        <v>4.1465800225058783E+189</v>
      </c>
      <c r="UKA53" s="760">
        <f t="shared" si="262"/>
        <v>4.2709774231810547E+189</v>
      </c>
      <c r="UKB53" s="760">
        <f t="shared" si="262"/>
        <v>4.3991067458764865E+189</v>
      </c>
      <c r="UKC53" s="760">
        <f t="shared" si="262"/>
        <v>4.5310799482527807E+189</v>
      </c>
      <c r="UKD53" s="760">
        <f t="shared" si="262"/>
        <v>4.6670123467003643E+189</v>
      </c>
      <c r="UKE53" s="760">
        <f t="shared" si="262"/>
        <v>4.8070227171013756E+189</v>
      </c>
      <c r="UKF53" s="760">
        <f t="shared" si="262"/>
        <v>4.9512333986144168E+189</v>
      </c>
      <c r="UKG53" s="760">
        <f t="shared" si="262"/>
        <v>5.0997704005728494E+189</v>
      </c>
      <c r="UKH53" s="760">
        <f t="shared" si="262"/>
        <v>5.2527635125900352E+189</v>
      </c>
      <c r="UKI53" s="760">
        <f t="shared" si="262"/>
        <v>5.4103464179677368E+189</v>
      </c>
      <c r="UKJ53" s="760">
        <f t="shared" si="262"/>
        <v>5.5726568105067695E+189</v>
      </c>
      <c r="UKK53" s="760">
        <f t="shared" si="262"/>
        <v>5.7398365148219726E+189</v>
      </c>
      <c r="UKL53" s="760">
        <f t="shared" si="262"/>
        <v>5.912031610266632E+189</v>
      </c>
      <c r="UKM53" s="760">
        <f t="shared" si="262"/>
        <v>6.0893925585746313E+189</v>
      </c>
      <c r="UKN53" s="760">
        <f t="shared" si="262"/>
        <v>6.2720743353318704E+189</v>
      </c>
      <c r="UKO53" s="760">
        <f t="shared" si="262"/>
        <v>6.4602365653918269E+189</v>
      </c>
      <c r="UKP53" s="760">
        <f t="shared" si="262"/>
        <v>6.6540436623535816E+189</v>
      </c>
      <c r="UKQ53" s="760">
        <f t="shared" si="262"/>
        <v>6.8536649722241895E+189</v>
      </c>
      <c r="UKR53" s="760">
        <f t="shared" si="262"/>
        <v>7.0592749213909155E+189</v>
      </c>
      <c r="UKS53" s="760">
        <f t="shared" si="262"/>
        <v>7.2710531690326436E+189</v>
      </c>
      <c r="UKT53" s="760">
        <f t="shared" si="262"/>
        <v>7.4891847641036229E+189</v>
      </c>
      <c r="UKU53" s="760">
        <f t="shared" si="262"/>
        <v>7.7138603070267315E+189</v>
      </c>
      <c r="UKV53" s="760">
        <f t="shared" si="262"/>
        <v>7.9452761162375336E+189</v>
      </c>
      <c r="UKW53" s="760">
        <f t="shared" si="262"/>
        <v>8.1836343997246596E+189</v>
      </c>
      <c r="UKX53" s="760">
        <f t="shared" si="262"/>
        <v>8.4291434317164E+189</v>
      </c>
      <c r="UKY53" s="760">
        <f t="shared" si="262"/>
        <v>8.6820177346678919E+189</v>
      </c>
      <c r="UKZ53" s="760">
        <f t="shared" si="262"/>
        <v>8.9424782667079292E+189</v>
      </c>
      <c r="ULA53" s="760">
        <f t="shared" si="262"/>
        <v>9.2107526147091668E+189</v>
      </c>
      <c r="ULB53" s="760">
        <f t="shared" si="262"/>
        <v>9.4870751931504428E+189</v>
      </c>
      <c r="ULC53" s="760">
        <f t="shared" si="262"/>
        <v>9.771687448944957E+189</v>
      </c>
      <c r="ULD53" s="760">
        <f t="shared" si="262"/>
        <v>1.0064838072413306E+190</v>
      </c>
      <c r="ULE53" s="760">
        <f t="shared" si="262"/>
        <v>1.0366783214585706E+190</v>
      </c>
      <c r="ULF53" s="760">
        <f t="shared" si="262"/>
        <v>1.0677786711023277E+190</v>
      </c>
      <c r="ULG53" s="760">
        <f t="shared" si="262"/>
        <v>1.0998120312353975E+190</v>
      </c>
      <c r="ULH53" s="760">
        <f t="shared" si="262"/>
        <v>1.1328063921724594E+190</v>
      </c>
      <c r="ULI53" s="760">
        <f t="shared" si="262"/>
        <v>1.1667905839376332E+190</v>
      </c>
      <c r="ULJ53" s="760">
        <f t="shared" si="262"/>
        <v>1.2017943014557623E+190</v>
      </c>
      <c r="ULK53" s="760">
        <f t="shared" si="262"/>
        <v>1.2378481304994352E+190</v>
      </c>
      <c r="ULL53" s="760">
        <f t="shared" si="262"/>
        <v>1.2749835744144184E+190</v>
      </c>
      <c r="ULM53" s="760">
        <f t="shared" si="262"/>
        <v>1.313233081646851E+190</v>
      </c>
      <c r="ULN53" s="760">
        <f t="shared" si="262"/>
        <v>1.3526300740962566E+190</v>
      </c>
      <c r="ULO53" s="760">
        <f t="shared" si="262"/>
        <v>1.3932089763191444E+190</v>
      </c>
      <c r="ULP53" s="760">
        <f t="shared" si="262"/>
        <v>1.4350052456087187E+190</v>
      </c>
      <c r="ULQ53" s="760">
        <f t="shared" si="262"/>
        <v>1.4780554029769804E+190</v>
      </c>
      <c r="ULR53" s="760">
        <f t="shared" si="262"/>
        <v>1.5223970650662898E+190</v>
      </c>
      <c r="ULS53" s="760">
        <f t="shared" si="262"/>
        <v>1.5680689770182785E+190</v>
      </c>
      <c r="ULT53" s="760">
        <f t="shared" si="262"/>
        <v>1.615111046328827E+190</v>
      </c>
      <c r="ULU53" s="760">
        <f t="shared" si="262"/>
        <v>1.6635643777186918E+190</v>
      </c>
      <c r="ULV53" s="760">
        <f t="shared" si="262"/>
        <v>1.7134713090502526E+190</v>
      </c>
      <c r="ULW53" s="760">
        <f t="shared" si="262"/>
        <v>1.7648754483217602E+190</v>
      </c>
      <c r="ULX53" s="760">
        <f t="shared" si="262"/>
        <v>1.817821711771413E+190</v>
      </c>
      <c r="ULY53" s="760">
        <f t="shared" si="262"/>
        <v>1.8723563631245554E+190</v>
      </c>
      <c r="ULZ53" s="760">
        <f t="shared" si="262"/>
        <v>1.9285270540182923E+190</v>
      </c>
      <c r="UMA53" s="760">
        <f t="shared" ref="UMA53:UOL53" si="263">+ULZ53*$C$53</f>
        <v>1.9863828656388409E+190</v>
      </c>
      <c r="UMB53" s="760">
        <f t="shared" si="263"/>
        <v>2.0459743516080064E+190</v>
      </c>
      <c r="UMC53" s="760">
        <f t="shared" si="263"/>
        <v>2.1073535821562464E+190</v>
      </c>
      <c r="UMD53" s="760">
        <f t="shared" si="263"/>
        <v>2.1705741896209338E+190</v>
      </c>
      <c r="UME53" s="760">
        <f t="shared" si="263"/>
        <v>2.2356914153095619E+190</v>
      </c>
      <c r="UMF53" s="760">
        <f t="shared" si="263"/>
        <v>2.3027621577688487E+190</v>
      </c>
      <c r="UMG53" s="760">
        <f t="shared" si="263"/>
        <v>2.3718450225019141E+190</v>
      </c>
      <c r="UMH53" s="760">
        <f t="shared" si="263"/>
        <v>2.4430003731769714E+190</v>
      </c>
      <c r="UMI53" s="760">
        <f t="shared" si="263"/>
        <v>2.5162903843722807E+190</v>
      </c>
      <c r="UMJ53" s="760">
        <f t="shared" si="263"/>
        <v>2.5917790959034491E+190</v>
      </c>
      <c r="UMK53" s="760">
        <f t="shared" si="263"/>
        <v>2.6695324687805525E+190</v>
      </c>
      <c r="UML53" s="760">
        <f t="shared" si="263"/>
        <v>2.7496184428439693E+190</v>
      </c>
      <c r="UMM53" s="760">
        <f t="shared" si="263"/>
        <v>2.8321069961292886E+190</v>
      </c>
      <c r="UMN53" s="760">
        <f t="shared" si="263"/>
        <v>2.9170702060131673E+190</v>
      </c>
      <c r="UMO53" s="760">
        <f t="shared" si="263"/>
        <v>3.0045823121935624E+190</v>
      </c>
      <c r="UMP53" s="760">
        <f t="shared" si="263"/>
        <v>3.0947197815593694E+190</v>
      </c>
      <c r="UMQ53" s="760">
        <f t="shared" si="263"/>
        <v>3.1875613750061506E+190</v>
      </c>
      <c r="UMR53" s="760">
        <f t="shared" si="263"/>
        <v>3.2831882162563352E+190</v>
      </c>
      <c r="UMS53" s="760">
        <f t="shared" si="263"/>
        <v>3.3816838627440252E+190</v>
      </c>
      <c r="UMT53" s="760">
        <f t="shared" si="263"/>
        <v>3.4831343786263461E+190</v>
      </c>
      <c r="UMU53" s="760">
        <f t="shared" si="263"/>
        <v>3.5876284099851362E+190</v>
      </c>
      <c r="UMV53" s="760">
        <f t="shared" si="263"/>
        <v>3.6952572622846905E+190</v>
      </c>
      <c r="UMW53" s="760">
        <f t="shared" si="263"/>
        <v>3.8061149801532313E+190</v>
      </c>
      <c r="UMX53" s="760">
        <f t="shared" si="263"/>
        <v>3.9202984295578284E+190</v>
      </c>
      <c r="UMY53" s="760">
        <f t="shared" si="263"/>
        <v>4.0379073824445636E+190</v>
      </c>
      <c r="UMZ53" s="760">
        <f t="shared" si="263"/>
        <v>4.1590446039179008E+190</v>
      </c>
      <c r="UNA53" s="760">
        <f t="shared" si="263"/>
        <v>4.2838159420354376E+190</v>
      </c>
      <c r="UNB53" s="760">
        <f t="shared" si="263"/>
        <v>4.4123304202965012E+190</v>
      </c>
      <c r="UNC53" s="760">
        <f t="shared" si="263"/>
        <v>4.544700332905396E+190</v>
      </c>
      <c r="UND53" s="760">
        <f t="shared" si="263"/>
        <v>4.6810413428925577E+190</v>
      </c>
      <c r="UNE53" s="760">
        <f t="shared" si="263"/>
        <v>4.8214725831793346E+190</v>
      </c>
      <c r="UNF53" s="760">
        <f t="shared" si="263"/>
        <v>4.9661167606747149E+190</v>
      </c>
      <c r="UNG53" s="760">
        <f t="shared" si="263"/>
        <v>5.1151002634949564E+190</v>
      </c>
      <c r="UNH53" s="760">
        <f t="shared" si="263"/>
        <v>5.2685532713998056E+190</v>
      </c>
      <c r="UNI53" s="760">
        <f t="shared" si="263"/>
        <v>5.4266098695417998E+190</v>
      </c>
      <c r="UNJ53" s="760">
        <f t="shared" si="263"/>
        <v>5.5894081656280536E+190</v>
      </c>
      <c r="UNK53" s="760">
        <f t="shared" si="263"/>
        <v>5.7570904105968957E+190</v>
      </c>
      <c r="UNL53" s="760">
        <f t="shared" si="263"/>
        <v>5.9298031229148028E+190</v>
      </c>
      <c r="UNM53" s="760">
        <f t="shared" si="263"/>
        <v>6.1076972166022467E+190</v>
      </c>
      <c r="UNN53" s="760">
        <f t="shared" si="263"/>
        <v>6.290928133100314E+190</v>
      </c>
      <c r="UNO53" s="760">
        <f t="shared" si="263"/>
        <v>6.4796559770933237E+190</v>
      </c>
      <c r="UNP53" s="760">
        <f t="shared" si="263"/>
        <v>6.6740456564061232E+190</v>
      </c>
      <c r="UNQ53" s="760">
        <f t="shared" si="263"/>
        <v>6.8742670260983068E+190</v>
      </c>
      <c r="UNR53" s="760">
        <f t="shared" si="263"/>
        <v>7.0804950368812561E+190</v>
      </c>
      <c r="UNS53" s="760">
        <f t="shared" si="263"/>
        <v>7.2929098879876939E+190</v>
      </c>
      <c r="UNT53" s="760">
        <f t="shared" si="263"/>
        <v>7.5116971846273245E+190</v>
      </c>
      <c r="UNU53" s="760">
        <f t="shared" si="263"/>
        <v>7.7370481001661442E+190</v>
      </c>
      <c r="UNV53" s="760">
        <f t="shared" si="263"/>
        <v>7.9691595431711291E+190</v>
      </c>
      <c r="UNW53" s="760">
        <f t="shared" si="263"/>
        <v>8.2082343294662627E+190</v>
      </c>
      <c r="UNX53" s="760">
        <f t="shared" si="263"/>
        <v>8.4544813593502501E+190</v>
      </c>
      <c r="UNY53" s="760">
        <f t="shared" si="263"/>
        <v>8.7081158001307579E+190</v>
      </c>
      <c r="UNZ53" s="760">
        <f t="shared" si="263"/>
        <v>8.9693592741346808E+190</v>
      </c>
      <c r="UOA53" s="760">
        <f t="shared" si="263"/>
        <v>9.238440052358722E+190</v>
      </c>
      <c r="UOB53" s="760">
        <f t="shared" si="263"/>
        <v>9.5155932539294837E+190</v>
      </c>
      <c r="UOC53" s="760">
        <f t="shared" si="263"/>
        <v>9.8010610515473689E+190</v>
      </c>
      <c r="UOD53" s="760">
        <f t="shared" si="263"/>
        <v>1.0095092883093791E+191</v>
      </c>
      <c r="UOE53" s="760">
        <f t="shared" si="263"/>
        <v>1.0397945669586605E+191</v>
      </c>
      <c r="UOF53" s="760">
        <f t="shared" si="263"/>
        <v>1.0709884039674203E+191</v>
      </c>
      <c r="UOG53" s="760">
        <f t="shared" si="263"/>
        <v>1.1031180560864429E+191</v>
      </c>
      <c r="UOH53" s="760">
        <f t="shared" si="263"/>
        <v>1.1362115977690363E+191</v>
      </c>
      <c r="UOI53" s="760">
        <f t="shared" si="263"/>
        <v>1.1702979457021074E+191</v>
      </c>
      <c r="UOJ53" s="760">
        <f t="shared" si="263"/>
        <v>1.2054068840731707E+191</v>
      </c>
      <c r="UOK53" s="760">
        <f t="shared" si="263"/>
        <v>1.2415690905953659E+191</v>
      </c>
      <c r="UOL53" s="760">
        <f t="shared" si="263"/>
        <v>1.2788161633132269E+191</v>
      </c>
      <c r="UOM53" s="760">
        <f t="shared" ref="UOM53:UQX53" si="264">+UOL53*$C$53</f>
        <v>1.3171806482126239E+191</v>
      </c>
      <c r="UON53" s="760">
        <f t="shared" si="264"/>
        <v>1.3566960676590026E+191</v>
      </c>
      <c r="UOO53" s="760">
        <f t="shared" si="264"/>
        <v>1.3973969496887728E+191</v>
      </c>
      <c r="UOP53" s="760">
        <f t="shared" si="264"/>
        <v>1.4393188581794362E+191</v>
      </c>
      <c r="UOQ53" s="760">
        <f t="shared" si="264"/>
        <v>1.4824984239248193E+191</v>
      </c>
      <c r="UOR53" s="760">
        <f t="shared" si="264"/>
        <v>1.5269733766425638E+191</v>
      </c>
      <c r="UOS53" s="760">
        <f t="shared" si="264"/>
        <v>1.5727825779418407E+191</v>
      </c>
      <c r="UOT53" s="760">
        <f t="shared" si="264"/>
        <v>1.6199660552800958E+191</v>
      </c>
      <c r="UOU53" s="760">
        <f t="shared" si="264"/>
        <v>1.6685650369384987E+191</v>
      </c>
      <c r="UOV53" s="760">
        <f t="shared" si="264"/>
        <v>1.7186219880466535E+191</v>
      </c>
      <c r="UOW53" s="760">
        <f t="shared" si="264"/>
        <v>1.7701806476880533E+191</v>
      </c>
      <c r="UOX53" s="760">
        <f t="shared" si="264"/>
        <v>1.8232860671186948E+191</v>
      </c>
      <c r="UOY53" s="760">
        <f t="shared" si="264"/>
        <v>1.8779846491322557E+191</v>
      </c>
      <c r="UOZ53" s="760">
        <f t="shared" si="264"/>
        <v>1.9343241886062233E+191</v>
      </c>
      <c r="UPA53" s="760">
        <f t="shared" si="264"/>
        <v>1.99235391426441E+191</v>
      </c>
      <c r="UPB53" s="760">
        <f t="shared" si="264"/>
        <v>2.0521245316923424E+191</v>
      </c>
      <c r="UPC53" s="760">
        <f t="shared" si="264"/>
        <v>2.1136882676431126E+191</v>
      </c>
      <c r="UPD53" s="760">
        <f t="shared" si="264"/>
        <v>2.1770989156724059E+191</v>
      </c>
      <c r="UPE53" s="760">
        <f t="shared" si="264"/>
        <v>2.2424118831425781E+191</v>
      </c>
      <c r="UPF53" s="760">
        <f t="shared" si="264"/>
        <v>2.3096842396368554E+191</v>
      </c>
      <c r="UPG53" s="760">
        <f t="shared" si="264"/>
        <v>2.3789747668259612E+191</v>
      </c>
      <c r="UPH53" s="760">
        <f t="shared" si="264"/>
        <v>2.4503440098307403E+191</v>
      </c>
      <c r="UPI53" s="760">
        <f t="shared" si="264"/>
        <v>2.5238543301256625E+191</v>
      </c>
      <c r="UPJ53" s="760">
        <f t="shared" si="264"/>
        <v>2.5995699600294325E+191</v>
      </c>
      <c r="UPK53" s="760">
        <f t="shared" si="264"/>
        <v>2.6775570588303156E+191</v>
      </c>
      <c r="UPL53" s="760">
        <f t="shared" si="264"/>
        <v>2.757883770595225E+191</v>
      </c>
      <c r="UPM53" s="760">
        <f t="shared" si="264"/>
        <v>2.8406202837130819E+191</v>
      </c>
      <c r="UPN53" s="760">
        <f t="shared" si="264"/>
        <v>2.9258388922244747E+191</v>
      </c>
      <c r="UPO53" s="760">
        <f t="shared" si="264"/>
        <v>3.0136140589912088E+191</v>
      </c>
      <c r="UPP53" s="760">
        <f t="shared" si="264"/>
        <v>3.1040224807609453E+191</v>
      </c>
      <c r="UPQ53" s="760">
        <f t="shared" si="264"/>
        <v>3.1971431551837735E+191</v>
      </c>
      <c r="UPR53" s="760">
        <f t="shared" si="264"/>
        <v>3.2930574498392867E+191</v>
      </c>
      <c r="UPS53" s="760">
        <f t="shared" si="264"/>
        <v>3.3918491733344656E+191</v>
      </c>
      <c r="UPT53" s="760">
        <f t="shared" si="264"/>
        <v>3.4936046485344997E+191</v>
      </c>
      <c r="UPU53" s="760">
        <f t="shared" si="264"/>
        <v>3.598412787990535E+191</v>
      </c>
      <c r="UPV53" s="760">
        <f t="shared" si="264"/>
        <v>3.706365171630251E+191</v>
      </c>
      <c r="UPW53" s="760">
        <f t="shared" si="264"/>
        <v>3.8175561267791586E+191</v>
      </c>
      <c r="UPX53" s="760">
        <f t="shared" si="264"/>
        <v>3.9320828105825331E+191</v>
      </c>
      <c r="UPY53" s="760">
        <f t="shared" si="264"/>
        <v>4.0500452949000092E+191</v>
      </c>
      <c r="UPZ53" s="760">
        <f t="shared" si="264"/>
        <v>4.1715466537470095E+191</v>
      </c>
      <c r="UQA53" s="760">
        <f t="shared" si="264"/>
        <v>4.29669305335942E+191</v>
      </c>
      <c r="UQB53" s="760">
        <f t="shared" si="264"/>
        <v>4.4255938449602028E+191</v>
      </c>
      <c r="UQC53" s="760">
        <f t="shared" si="264"/>
        <v>4.5583616603090091E+191</v>
      </c>
      <c r="UQD53" s="760">
        <f t="shared" si="264"/>
        <v>4.6951125101182793E+191</v>
      </c>
      <c r="UQE53" s="760">
        <f t="shared" si="264"/>
        <v>4.8359658854218279E+191</v>
      </c>
      <c r="UQF53" s="760">
        <f t="shared" si="264"/>
        <v>4.9810448619844828E+191</v>
      </c>
      <c r="UQG53" s="760">
        <f t="shared" si="264"/>
        <v>5.1304762078440176E+191</v>
      </c>
      <c r="UQH53" s="760">
        <f t="shared" si="264"/>
        <v>5.2843904940793383E+191</v>
      </c>
      <c r="UQI53" s="760">
        <f t="shared" si="264"/>
        <v>5.4429222089017187E+191</v>
      </c>
      <c r="UQJ53" s="760">
        <f t="shared" si="264"/>
        <v>5.6062098751687706E+191</v>
      </c>
      <c r="UQK53" s="760">
        <f t="shared" si="264"/>
        <v>5.7743961714238338E+191</v>
      </c>
      <c r="UQL53" s="760">
        <f t="shared" si="264"/>
        <v>5.9476280565665484E+191</v>
      </c>
      <c r="UQM53" s="760">
        <f t="shared" si="264"/>
        <v>6.1260568982635453E+191</v>
      </c>
      <c r="UQN53" s="760">
        <f t="shared" si="264"/>
        <v>6.3098386052114524E+191</v>
      </c>
      <c r="UQO53" s="760">
        <f t="shared" si="264"/>
        <v>6.499133763367796E+191</v>
      </c>
      <c r="UQP53" s="760">
        <f t="shared" si="264"/>
        <v>6.69410777626883E+191</v>
      </c>
      <c r="UQQ53" s="760">
        <f t="shared" si="264"/>
        <v>6.8949310095568946E+191</v>
      </c>
      <c r="UQR53" s="760">
        <f t="shared" si="264"/>
        <v>7.1017789398436012E+191</v>
      </c>
      <c r="UQS53" s="760">
        <f t="shared" si="264"/>
        <v>7.3148323080389091E+191</v>
      </c>
      <c r="UQT53" s="760">
        <f t="shared" si="264"/>
        <v>7.5342772772800772E+191</v>
      </c>
      <c r="UQU53" s="760">
        <f t="shared" si="264"/>
        <v>7.7603055955984803E+191</v>
      </c>
      <c r="UQV53" s="760">
        <f t="shared" si="264"/>
        <v>7.9931147634664349E+191</v>
      </c>
      <c r="UQW53" s="760">
        <f t="shared" si="264"/>
        <v>8.2329082063704282E+191</v>
      </c>
      <c r="UQX53" s="760">
        <f t="shared" si="264"/>
        <v>8.479895452561541E+191</v>
      </c>
      <c r="UQY53" s="760">
        <f t="shared" ref="UQY53:UTJ53" si="265">+UQX53*$C$53</f>
        <v>8.7342923161383876E+191</v>
      </c>
      <c r="UQZ53" s="760">
        <f t="shared" si="265"/>
        <v>8.9963210856225396E+191</v>
      </c>
      <c r="URA53" s="760">
        <f t="shared" si="265"/>
        <v>9.2662107181912154E+191</v>
      </c>
      <c r="URB53" s="760">
        <f t="shared" si="265"/>
        <v>9.5441970397369523E+191</v>
      </c>
      <c r="URC53" s="760">
        <f t="shared" si="265"/>
        <v>9.8305229509290607E+191</v>
      </c>
      <c r="URD53" s="760">
        <f t="shared" si="265"/>
        <v>1.0125438639456932E+192</v>
      </c>
      <c r="URE53" s="760">
        <f t="shared" si="265"/>
        <v>1.0429201798640641E+192</v>
      </c>
      <c r="URF53" s="760">
        <f t="shared" si="265"/>
        <v>1.074207785259986E+192</v>
      </c>
      <c r="URG53" s="760">
        <f t="shared" si="265"/>
        <v>1.1064340188177856E+192</v>
      </c>
      <c r="URH53" s="760">
        <f t="shared" si="265"/>
        <v>1.1396270393823192E+192</v>
      </c>
      <c r="URI53" s="760">
        <f t="shared" si="265"/>
        <v>1.173815850563789E+192</v>
      </c>
      <c r="URJ53" s="760">
        <f t="shared" si="265"/>
        <v>1.2090303260807027E+192</v>
      </c>
      <c r="URK53" s="760">
        <f t="shared" si="265"/>
        <v>1.2453012358631237E+192</v>
      </c>
      <c r="URL53" s="760">
        <f t="shared" si="265"/>
        <v>1.2826602729390174E+192</v>
      </c>
      <c r="URM53" s="760">
        <f t="shared" si="265"/>
        <v>1.3211400811271878E+192</v>
      </c>
      <c r="URN53" s="760">
        <f t="shared" si="265"/>
        <v>1.3607742835610034E+192</v>
      </c>
      <c r="URO53" s="760">
        <f t="shared" si="265"/>
        <v>1.4015975120678336E+192</v>
      </c>
      <c r="URP53" s="760">
        <f t="shared" si="265"/>
        <v>1.4436454374298687E+192</v>
      </c>
      <c r="URQ53" s="760">
        <f t="shared" si="265"/>
        <v>1.4869548005527649E+192</v>
      </c>
      <c r="URR53" s="760">
        <f t="shared" si="265"/>
        <v>1.5315634445693478E+192</v>
      </c>
      <c r="URS53" s="760">
        <f t="shared" si="265"/>
        <v>1.5775103479064283E+192</v>
      </c>
      <c r="URT53" s="760">
        <f t="shared" si="265"/>
        <v>1.6248356583436213E+192</v>
      </c>
      <c r="URU53" s="760">
        <f t="shared" si="265"/>
        <v>1.67358072809393E+192</v>
      </c>
      <c r="URV53" s="760">
        <f t="shared" si="265"/>
        <v>1.723788149936748E+192</v>
      </c>
      <c r="URW53" s="760">
        <f t="shared" si="265"/>
        <v>1.7755017944348504E+192</v>
      </c>
      <c r="URX53" s="760">
        <f t="shared" si="265"/>
        <v>1.828766848267896E+192</v>
      </c>
      <c r="URY53" s="760">
        <f t="shared" si="265"/>
        <v>1.8836298537159328E+192</v>
      </c>
      <c r="URZ53" s="760">
        <f t="shared" si="265"/>
        <v>1.9401387493274108E+192</v>
      </c>
      <c r="USA53" s="760">
        <f t="shared" si="265"/>
        <v>1.9983429118072332E+192</v>
      </c>
      <c r="USB53" s="760">
        <f t="shared" si="265"/>
        <v>2.0582931991614503E+192</v>
      </c>
      <c r="USC53" s="760">
        <f t="shared" si="265"/>
        <v>2.1200419951362939E+192</v>
      </c>
      <c r="USD53" s="760">
        <f t="shared" si="265"/>
        <v>2.1836432549903828E+192</v>
      </c>
      <c r="USE53" s="760">
        <f t="shared" si="265"/>
        <v>2.2491525526400943E+192</v>
      </c>
      <c r="USF53" s="760">
        <f t="shared" si="265"/>
        <v>2.3166271292192973E+192</v>
      </c>
      <c r="USG53" s="760">
        <f t="shared" si="265"/>
        <v>2.3861259430958763E+192</v>
      </c>
      <c r="USH53" s="760">
        <f t="shared" si="265"/>
        <v>2.4577097213887525E+192</v>
      </c>
      <c r="USI53" s="760">
        <f t="shared" si="265"/>
        <v>2.5314410130304152E+192</v>
      </c>
      <c r="USJ53" s="760">
        <f t="shared" si="265"/>
        <v>2.6073842434213279E+192</v>
      </c>
      <c r="USK53" s="760">
        <f t="shared" si="265"/>
        <v>2.6856057707239679E+192</v>
      </c>
      <c r="USL53" s="760">
        <f t="shared" si="265"/>
        <v>2.766173943845687E+192</v>
      </c>
      <c r="USM53" s="760">
        <f t="shared" si="265"/>
        <v>2.8491591621610577E+192</v>
      </c>
      <c r="USN53" s="760">
        <f t="shared" si="265"/>
        <v>2.9346339370258893E+192</v>
      </c>
      <c r="USO53" s="760">
        <f t="shared" si="265"/>
        <v>3.0226729551366662E+192</v>
      </c>
      <c r="USP53" s="760">
        <f t="shared" si="265"/>
        <v>3.1133531437907662E+192</v>
      </c>
      <c r="USQ53" s="760">
        <f t="shared" si="265"/>
        <v>3.2067537381044892E+192</v>
      </c>
      <c r="USR53" s="760">
        <f t="shared" si="265"/>
        <v>3.3029563502476237E+192</v>
      </c>
      <c r="USS53" s="760">
        <f t="shared" si="265"/>
        <v>3.4020450407550523E+192</v>
      </c>
      <c r="UST53" s="760">
        <f t="shared" si="265"/>
        <v>3.5041063919777038E+192</v>
      </c>
      <c r="USU53" s="760">
        <f t="shared" si="265"/>
        <v>3.6092295837370349E+192</v>
      </c>
      <c r="USV53" s="760">
        <f t="shared" si="265"/>
        <v>3.7175064712491461E+192</v>
      </c>
      <c r="USW53" s="760">
        <f t="shared" si="265"/>
        <v>3.8290316653866203E+192</v>
      </c>
      <c r="USX53" s="760">
        <f t="shared" si="265"/>
        <v>3.9439026153482189E+192</v>
      </c>
      <c r="USY53" s="760">
        <f t="shared" si="265"/>
        <v>4.0622196938086657E+192</v>
      </c>
      <c r="USZ53" s="760">
        <f t="shared" si="265"/>
        <v>4.1840862846229261E+192</v>
      </c>
      <c r="UTA53" s="760">
        <f t="shared" si="265"/>
        <v>4.3096088731616138E+192</v>
      </c>
      <c r="UTB53" s="760">
        <f t="shared" si="265"/>
        <v>4.4388971393564621E+192</v>
      </c>
      <c r="UTC53" s="760">
        <f t="shared" si="265"/>
        <v>4.5720640535371563E+192</v>
      </c>
      <c r="UTD53" s="760">
        <f t="shared" si="265"/>
        <v>4.709225975143271E+192</v>
      </c>
      <c r="UTE53" s="760">
        <f t="shared" si="265"/>
        <v>4.8505027543975691E+192</v>
      </c>
      <c r="UTF53" s="760">
        <f t="shared" si="265"/>
        <v>4.9960178370294967E+192</v>
      </c>
      <c r="UTG53" s="760">
        <f t="shared" si="265"/>
        <v>5.1458983721403815E+192</v>
      </c>
      <c r="UTH53" s="760">
        <f t="shared" si="265"/>
        <v>5.3002753233045929E+192</v>
      </c>
      <c r="UTI53" s="760">
        <f t="shared" si="265"/>
        <v>5.4592835830037304E+192</v>
      </c>
      <c r="UTJ53" s="760">
        <f t="shared" si="265"/>
        <v>5.6230620904938421E+192</v>
      </c>
      <c r="UTK53" s="760">
        <f t="shared" ref="UTK53:UVV53" si="266">+UTJ53*$C$53</f>
        <v>5.7917539532086573E+192</v>
      </c>
      <c r="UTL53" s="760">
        <f t="shared" si="266"/>
        <v>5.9655065718049173E+192</v>
      </c>
      <c r="UTM53" s="760">
        <f t="shared" si="266"/>
        <v>6.1444717689590654E+192</v>
      </c>
      <c r="UTN53" s="760">
        <f t="shared" si="266"/>
        <v>6.328805922027837E+192</v>
      </c>
      <c r="UTO53" s="760">
        <f t="shared" si="266"/>
        <v>6.5186700996886721E+192</v>
      </c>
      <c r="UTP53" s="760">
        <f t="shared" si="266"/>
        <v>6.714230202679332E+192</v>
      </c>
      <c r="UTQ53" s="760">
        <f t="shared" si="266"/>
        <v>6.9156571087597122E+192</v>
      </c>
      <c r="UTR53" s="760">
        <f t="shared" si="266"/>
        <v>7.1231268220225042E+192</v>
      </c>
      <c r="UTS53" s="760">
        <f t="shared" si="266"/>
        <v>7.3368206266831795E+192</v>
      </c>
      <c r="UTT53" s="760">
        <f t="shared" si="266"/>
        <v>7.5569252454836755E+192</v>
      </c>
      <c r="UTU53" s="760">
        <f t="shared" si="266"/>
        <v>7.7836330028481862E+192</v>
      </c>
      <c r="UTV53" s="760">
        <f t="shared" si="266"/>
        <v>8.0171419929336323E+192</v>
      </c>
      <c r="UTW53" s="760">
        <f t="shared" si="266"/>
        <v>8.2576562527216419E+192</v>
      </c>
      <c r="UTX53" s="760">
        <f t="shared" si="266"/>
        <v>8.505385940303291E+192</v>
      </c>
      <c r="UTY53" s="760">
        <f t="shared" si="266"/>
        <v>8.7605475185123904E+192</v>
      </c>
      <c r="UTZ53" s="760">
        <f t="shared" si="266"/>
        <v>9.023363944067762E+192</v>
      </c>
      <c r="UUA53" s="760">
        <f t="shared" si="266"/>
        <v>9.2940648623897955E+192</v>
      </c>
      <c r="UUB53" s="760">
        <f t="shared" si="266"/>
        <v>9.5728868082614896E+192</v>
      </c>
      <c r="UUC53" s="760">
        <f t="shared" si="266"/>
        <v>9.8600734125093339E+192</v>
      </c>
      <c r="UUD53" s="760">
        <f t="shared" si="266"/>
        <v>1.0155875614884614E+193</v>
      </c>
      <c r="UUE53" s="760">
        <f t="shared" si="266"/>
        <v>1.0460551883331152E+193</v>
      </c>
      <c r="UUF53" s="760">
        <f t="shared" si="266"/>
        <v>1.0774368439831086E+193</v>
      </c>
      <c r="UUG53" s="760">
        <f t="shared" si="266"/>
        <v>1.109759949302602E+193</v>
      </c>
      <c r="UUH53" s="760">
        <f t="shared" si="266"/>
        <v>1.14305274778168E+193</v>
      </c>
      <c r="UUI53" s="760">
        <f t="shared" si="266"/>
        <v>1.1773443302151303E+193</v>
      </c>
      <c r="UUJ53" s="760">
        <f t="shared" si="266"/>
        <v>1.2126646601215843E+193</v>
      </c>
      <c r="UUK53" s="760">
        <f t="shared" si="266"/>
        <v>1.2490445999252317E+193</v>
      </c>
      <c r="UUL53" s="760">
        <f t="shared" si="266"/>
        <v>1.2865159379229888E+193</v>
      </c>
      <c r="UUM53" s="760">
        <f t="shared" si="266"/>
        <v>1.3251114160606785E+193</v>
      </c>
      <c r="UUN53" s="760">
        <f t="shared" si="266"/>
        <v>1.3648647585424989E+193</v>
      </c>
      <c r="UUO53" s="760">
        <f t="shared" si="266"/>
        <v>1.405810701298774E+193</v>
      </c>
      <c r="UUP53" s="760">
        <f t="shared" si="266"/>
        <v>1.4479850223377372E+193</v>
      </c>
      <c r="UUQ53" s="760">
        <f t="shared" si="266"/>
        <v>1.4914245730078693E+193</v>
      </c>
      <c r="UUR53" s="760">
        <f t="shared" si="266"/>
        <v>1.5361673101981054E+193</v>
      </c>
      <c r="UUS53" s="760">
        <f t="shared" si="266"/>
        <v>1.5822523295040487E+193</v>
      </c>
      <c r="UUT53" s="760">
        <f t="shared" si="266"/>
        <v>1.6297198993891703E+193</v>
      </c>
      <c r="UUU53" s="760">
        <f t="shared" si="266"/>
        <v>1.6786114963708454E+193</v>
      </c>
      <c r="UUV53" s="760">
        <f t="shared" si="266"/>
        <v>1.7289698412619709E+193</v>
      </c>
      <c r="UUW53" s="760">
        <f t="shared" si="266"/>
        <v>1.7808389364998301E+193</v>
      </c>
      <c r="UUX53" s="760">
        <f t="shared" si="266"/>
        <v>1.8342641045948252E+193</v>
      </c>
      <c r="UUY53" s="760">
        <f t="shared" si="266"/>
        <v>1.8892920277326701E+193</v>
      </c>
      <c r="UUZ53" s="760">
        <f t="shared" si="266"/>
        <v>1.9459707885646503E+193</v>
      </c>
      <c r="UVA53" s="760">
        <f t="shared" si="266"/>
        <v>2.0043499122215898E+193</v>
      </c>
      <c r="UVB53" s="760">
        <f t="shared" si="266"/>
        <v>2.0644804095882376E+193</v>
      </c>
      <c r="UVC53" s="760">
        <f t="shared" si="266"/>
        <v>2.1264148218758846E+193</v>
      </c>
      <c r="UVD53" s="760">
        <f t="shared" si="266"/>
        <v>2.1902072665321614E+193</v>
      </c>
      <c r="UVE53" s="760">
        <f t="shared" si="266"/>
        <v>2.2559134845281265E+193</v>
      </c>
      <c r="UVF53" s="760">
        <f t="shared" si="266"/>
        <v>2.3235908890639703E+193</v>
      </c>
      <c r="UVG53" s="760">
        <f t="shared" si="266"/>
        <v>2.3932986157358896E+193</v>
      </c>
      <c r="UVH53" s="760">
        <f t="shared" si="266"/>
        <v>2.4650975742079663E+193</v>
      </c>
      <c r="UVI53" s="760">
        <f t="shared" si="266"/>
        <v>2.5390505014342054E+193</v>
      </c>
      <c r="UVJ53" s="760">
        <f t="shared" si="266"/>
        <v>2.6152220164772315E+193</v>
      </c>
      <c r="UVK53" s="760">
        <f t="shared" si="266"/>
        <v>2.6936786769715487E+193</v>
      </c>
      <c r="UVL53" s="760">
        <f t="shared" si="266"/>
        <v>2.7744890372806952E+193</v>
      </c>
      <c r="UVM53" s="760">
        <f t="shared" si="266"/>
        <v>2.8577237083991161E+193</v>
      </c>
      <c r="UVN53" s="760">
        <f t="shared" si="266"/>
        <v>2.9434554196510897E+193</v>
      </c>
      <c r="UVO53" s="760">
        <f t="shared" si="266"/>
        <v>3.0317590822406225E+193</v>
      </c>
      <c r="UVP53" s="760">
        <f t="shared" si="266"/>
        <v>3.1227118547078414E+193</v>
      </c>
      <c r="UVQ53" s="760">
        <f t="shared" si="266"/>
        <v>3.2163932103490767E+193</v>
      </c>
      <c r="UVR53" s="760">
        <f t="shared" si="266"/>
        <v>3.312885006659549E+193</v>
      </c>
      <c r="UVS53" s="760">
        <f t="shared" si="266"/>
        <v>3.4122715568593356E+193</v>
      </c>
      <c r="UVT53" s="760">
        <f t="shared" si="266"/>
        <v>3.5146397035651159E+193</v>
      </c>
      <c r="UVU53" s="760">
        <f t="shared" si="266"/>
        <v>3.6200788946720693E+193</v>
      </c>
      <c r="UVV53" s="760">
        <f t="shared" si="266"/>
        <v>3.7286812615122316E+193</v>
      </c>
      <c r="UVW53" s="760">
        <f t="shared" ref="UVW53:UYH53" si="267">+UVV53*$C$53</f>
        <v>3.8405416993575986E+193</v>
      </c>
      <c r="UVX53" s="760">
        <f t="shared" si="267"/>
        <v>3.9557579503383268E+193</v>
      </c>
      <c r="UVY53" s="760">
        <f t="shared" si="267"/>
        <v>4.0744306888484764E+193</v>
      </c>
      <c r="UVZ53" s="760">
        <f t="shared" si="267"/>
        <v>4.1966636095139305E+193</v>
      </c>
      <c r="UWA53" s="760">
        <f t="shared" si="267"/>
        <v>4.3225635177993486E+193</v>
      </c>
      <c r="UWB53" s="760">
        <f t="shared" si="267"/>
        <v>4.4522404233333292E+193</v>
      </c>
      <c r="UWC53" s="760">
        <f t="shared" si="267"/>
        <v>4.5858076360333293E+193</v>
      </c>
      <c r="UWD53" s="760">
        <f t="shared" si="267"/>
        <v>4.7233818651143296E+193</v>
      </c>
      <c r="UWE53" s="760">
        <f t="shared" si="267"/>
        <v>4.8650833210677594E+193</v>
      </c>
      <c r="UWF53" s="760">
        <f t="shared" si="267"/>
        <v>5.0110358206997926E+193</v>
      </c>
      <c r="UWG53" s="760">
        <f t="shared" si="267"/>
        <v>5.1613668953207862E+193</v>
      </c>
      <c r="UWH53" s="760">
        <f t="shared" si="267"/>
        <v>5.3162079021804099E+193</v>
      </c>
      <c r="UWI53" s="760">
        <f t="shared" si="267"/>
        <v>5.4756941392458223E+193</v>
      </c>
      <c r="UWJ53" s="760">
        <f t="shared" si="267"/>
        <v>5.6399649634231972E+193</v>
      </c>
      <c r="UWK53" s="760">
        <f t="shared" si="267"/>
        <v>5.8091639123258932E+193</v>
      </c>
      <c r="UWL53" s="760">
        <f t="shared" si="267"/>
        <v>5.9834388296956704E+193</v>
      </c>
      <c r="UWM53" s="760">
        <f t="shared" si="267"/>
        <v>6.162941994586541E+193</v>
      </c>
      <c r="UWN53" s="760">
        <f t="shared" si="267"/>
        <v>6.3478302544241376E+193</v>
      </c>
      <c r="UWO53" s="760">
        <f t="shared" si="267"/>
        <v>6.5382651620568617E+193</v>
      </c>
      <c r="UWP53" s="760">
        <f t="shared" si="267"/>
        <v>6.7344131169185678E+193</v>
      </c>
      <c r="UWQ53" s="760">
        <f t="shared" si="267"/>
        <v>6.9364455104261248E+193</v>
      </c>
      <c r="UWR53" s="760">
        <f t="shared" si="267"/>
        <v>7.1445388757389084E+193</v>
      </c>
      <c r="UWS53" s="760">
        <f t="shared" si="267"/>
        <v>7.3588750420110758E+193</v>
      </c>
      <c r="UWT53" s="760">
        <f t="shared" si="267"/>
        <v>7.5796412932714085E+193</v>
      </c>
      <c r="UWU53" s="760">
        <f t="shared" si="267"/>
        <v>7.8070305320695504E+193</v>
      </c>
      <c r="UWV53" s="760">
        <f t="shared" si="267"/>
        <v>8.0412414480316378E+193</v>
      </c>
      <c r="UWW53" s="760">
        <f t="shared" si="267"/>
        <v>8.2824786914725869E+193</v>
      </c>
      <c r="UWX53" s="760">
        <f t="shared" si="267"/>
        <v>8.5309530522167641E+193</v>
      </c>
      <c r="UWY53" s="760">
        <f t="shared" si="267"/>
        <v>8.7868816437832671E+193</v>
      </c>
      <c r="UWZ53" s="760">
        <f t="shared" si="267"/>
        <v>9.0504880930967653E+193</v>
      </c>
      <c r="UXA53" s="760">
        <f t="shared" si="267"/>
        <v>9.322002735889668E+193</v>
      </c>
      <c r="UXB53" s="760">
        <f t="shared" si="267"/>
        <v>9.6016628179663578E+193</v>
      </c>
      <c r="UXC53" s="760">
        <f t="shared" si="267"/>
        <v>9.8897127025053484E+193</v>
      </c>
      <c r="UXD53" s="760">
        <f t="shared" si="267"/>
        <v>1.0186404083580509E+194</v>
      </c>
      <c r="UXE53" s="760">
        <f t="shared" si="267"/>
        <v>1.0491996206087924E+194</v>
      </c>
      <c r="UXF53" s="760">
        <f t="shared" si="267"/>
        <v>1.0806756092270563E+194</v>
      </c>
      <c r="UXG53" s="760">
        <f t="shared" si="267"/>
        <v>1.113095877503868E+194</v>
      </c>
      <c r="UXH53" s="760">
        <f t="shared" si="267"/>
        <v>1.1464887538289841E+194</v>
      </c>
      <c r="UXI53" s="760">
        <f t="shared" si="267"/>
        <v>1.1808834164438536E+194</v>
      </c>
      <c r="UXJ53" s="760">
        <f t="shared" si="267"/>
        <v>1.2163099189371693E+194</v>
      </c>
      <c r="UXK53" s="760">
        <f t="shared" si="267"/>
        <v>1.2527992165052843E+194</v>
      </c>
      <c r="UXL53" s="760">
        <f t="shared" si="267"/>
        <v>1.2903831930004429E+194</v>
      </c>
      <c r="UXM53" s="760">
        <f t="shared" si="267"/>
        <v>1.3290946887904562E+194</v>
      </c>
      <c r="UXN53" s="760">
        <f t="shared" si="267"/>
        <v>1.3689675294541698E+194</v>
      </c>
      <c r="UXO53" s="760">
        <f t="shared" si="267"/>
        <v>1.4100365553377949E+194</v>
      </c>
      <c r="UXP53" s="760">
        <f t="shared" si="267"/>
        <v>1.4523376519979287E+194</v>
      </c>
      <c r="UXQ53" s="760">
        <f t="shared" si="267"/>
        <v>1.4959077815578665E+194</v>
      </c>
      <c r="UXR53" s="760">
        <f t="shared" si="267"/>
        <v>1.5407850150046024E+194</v>
      </c>
      <c r="UXS53" s="760">
        <f t="shared" si="267"/>
        <v>1.5870085654547406E+194</v>
      </c>
      <c r="UXT53" s="760">
        <f t="shared" si="267"/>
        <v>1.6346188224183829E+194</v>
      </c>
      <c r="UXU53" s="760">
        <f t="shared" si="267"/>
        <v>1.6836573870909342E+194</v>
      </c>
      <c r="UXV53" s="760">
        <f t="shared" si="267"/>
        <v>1.7341671087036622E+194</v>
      </c>
      <c r="UXW53" s="760">
        <f t="shared" si="267"/>
        <v>1.7861921219647722E+194</v>
      </c>
      <c r="UXX53" s="760">
        <f t="shared" si="267"/>
        <v>1.8397778856237153E+194</v>
      </c>
      <c r="UXY53" s="760">
        <f t="shared" si="267"/>
        <v>1.894971222192427E+194</v>
      </c>
      <c r="UXZ53" s="760">
        <f t="shared" si="267"/>
        <v>1.9518203588581998E+194</v>
      </c>
      <c r="UYA53" s="760">
        <f t="shared" si="267"/>
        <v>2.0103749696239457E+194</v>
      </c>
      <c r="UYB53" s="760">
        <f t="shared" si="267"/>
        <v>2.0706862187126642E+194</v>
      </c>
      <c r="UYC53" s="760">
        <f t="shared" si="267"/>
        <v>2.1328068052740441E+194</v>
      </c>
      <c r="UYD53" s="760">
        <f t="shared" si="267"/>
        <v>2.1967910094322654E+194</v>
      </c>
      <c r="UYE53" s="760">
        <f t="shared" si="267"/>
        <v>2.2626947397152333E+194</v>
      </c>
      <c r="UYF53" s="760">
        <f t="shared" si="267"/>
        <v>2.3305755819066904E+194</v>
      </c>
      <c r="UYG53" s="760">
        <f t="shared" si="267"/>
        <v>2.4004928493638911E+194</v>
      </c>
      <c r="UYH53" s="760">
        <f t="shared" si="267"/>
        <v>2.472507634844808E+194</v>
      </c>
      <c r="UYI53" s="760">
        <f t="shared" ref="UYI53:VAT53" si="268">+UYH53*$C$53</f>
        <v>2.5466828638901525E+194</v>
      </c>
      <c r="UYJ53" s="760">
        <f t="shared" si="268"/>
        <v>2.6230833498068571E+194</v>
      </c>
      <c r="UYK53" s="760">
        <f t="shared" si="268"/>
        <v>2.7017758503010628E+194</v>
      </c>
      <c r="UYL53" s="760">
        <f t="shared" si="268"/>
        <v>2.7828291258100948E+194</v>
      </c>
      <c r="UYM53" s="760">
        <f t="shared" si="268"/>
        <v>2.8663139995843977E+194</v>
      </c>
      <c r="UYN53" s="760">
        <f t="shared" si="268"/>
        <v>2.9523034195719299E+194</v>
      </c>
      <c r="UYO53" s="760">
        <f t="shared" si="268"/>
        <v>3.0408725221590876E+194</v>
      </c>
      <c r="UYP53" s="760">
        <f t="shared" si="268"/>
        <v>3.1320986978238605E+194</v>
      </c>
      <c r="UYQ53" s="760">
        <f t="shared" si="268"/>
        <v>3.2260616587585763E+194</v>
      </c>
      <c r="UYR53" s="760">
        <f t="shared" si="268"/>
        <v>3.3228435085213337E+194</v>
      </c>
      <c r="UYS53" s="760">
        <f t="shared" si="268"/>
        <v>3.422528813776974E+194</v>
      </c>
      <c r="UYT53" s="760">
        <f t="shared" si="268"/>
        <v>3.525204678190283E+194</v>
      </c>
      <c r="UYU53" s="760">
        <f t="shared" si="268"/>
        <v>3.6309608185359914E+194</v>
      </c>
      <c r="UYV53" s="760">
        <f t="shared" si="268"/>
        <v>3.739889643092071E+194</v>
      </c>
      <c r="UYW53" s="760">
        <f t="shared" si="268"/>
        <v>3.852086332384833E+194</v>
      </c>
      <c r="UYX53" s="760">
        <f t="shared" si="268"/>
        <v>3.967648922356378E+194</v>
      </c>
      <c r="UYY53" s="760">
        <f t="shared" si="268"/>
        <v>4.0866783900270692E+194</v>
      </c>
      <c r="UYZ53" s="760">
        <f t="shared" si="268"/>
        <v>4.2092787417278814E+194</v>
      </c>
      <c r="UZA53" s="760">
        <f t="shared" si="268"/>
        <v>4.3355571039797181E+194</v>
      </c>
      <c r="UZB53" s="760">
        <f t="shared" si="268"/>
        <v>4.4656238170991095E+194</v>
      </c>
      <c r="UZC53" s="760">
        <f t="shared" si="268"/>
        <v>4.5995925316120826E+194</v>
      </c>
      <c r="UZD53" s="760">
        <f t="shared" si="268"/>
        <v>4.7375803075604452E+194</v>
      </c>
      <c r="UZE53" s="760">
        <f t="shared" si="268"/>
        <v>4.8797077167872587E+194</v>
      </c>
      <c r="UZF53" s="760">
        <f t="shared" si="268"/>
        <v>5.0260989482908765E+194</v>
      </c>
      <c r="UZG53" s="760">
        <f t="shared" si="268"/>
        <v>5.1768819167396029E+194</v>
      </c>
      <c r="UZH53" s="760">
        <f t="shared" si="268"/>
        <v>5.3321883742417909E+194</v>
      </c>
      <c r="UZI53" s="760">
        <f t="shared" si="268"/>
        <v>5.4921540254690446E+194</v>
      </c>
      <c r="UZJ53" s="760">
        <f t="shared" si="268"/>
        <v>5.6569186462331163E+194</v>
      </c>
      <c r="UZK53" s="760">
        <f t="shared" si="268"/>
        <v>5.8266262056201101E+194</v>
      </c>
      <c r="UZL53" s="760">
        <f t="shared" si="268"/>
        <v>6.0014249917887137E+194</v>
      </c>
      <c r="UZM53" s="760">
        <f t="shared" si="268"/>
        <v>6.1814677415423755E+194</v>
      </c>
      <c r="UZN53" s="760">
        <f t="shared" si="268"/>
        <v>6.3669117737886467E+194</v>
      </c>
      <c r="UZO53" s="760">
        <f t="shared" si="268"/>
        <v>6.5579191270023064E+194</v>
      </c>
      <c r="UZP53" s="760">
        <f t="shared" si="268"/>
        <v>6.7546567008123759E+194</v>
      </c>
      <c r="UZQ53" s="760">
        <f t="shared" si="268"/>
        <v>6.9572964018367467E+194</v>
      </c>
      <c r="UZR53" s="760">
        <f t="shared" si="268"/>
        <v>7.1660152938918493E+194</v>
      </c>
      <c r="UZS53" s="760">
        <f t="shared" si="268"/>
        <v>7.3809957527086047E+194</v>
      </c>
      <c r="UZT53" s="760">
        <f t="shared" si="268"/>
        <v>7.6024256252898631E+194</v>
      </c>
      <c r="UZU53" s="760">
        <f t="shared" si="268"/>
        <v>7.8304983940485586E+194</v>
      </c>
      <c r="UZV53" s="760">
        <f t="shared" si="268"/>
        <v>8.0654133458700154E+194</v>
      </c>
      <c r="UZW53" s="760">
        <f t="shared" si="268"/>
        <v>8.3073757462461166E+194</v>
      </c>
      <c r="UZX53" s="760">
        <f t="shared" si="268"/>
        <v>8.5565970186334998E+194</v>
      </c>
      <c r="UZY53" s="760">
        <f t="shared" si="268"/>
        <v>8.813294929192505E+194</v>
      </c>
      <c r="UZZ53" s="760">
        <f t="shared" si="268"/>
        <v>9.0776937770682805E+194</v>
      </c>
      <c r="VAA53" s="760">
        <f t="shared" si="268"/>
        <v>9.3500245903803293E+194</v>
      </c>
      <c r="VAB53" s="760">
        <f t="shared" si="268"/>
        <v>9.6305253280917393E+194</v>
      </c>
      <c r="VAC53" s="760">
        <f t="shared" si="268"/>
        <v>9.9194410879344919E+194</v>
      </c>
      <c r="VAD53" s="760">
        <f t="shared" si="268"/>
        <v>1.0217024320572527E+195</v>
      </c>
      <c r="VAE53" s="760">
        <f t="shared" si="268"/>
        <v>1.0523535050189704E+195</v>
      </c>
      <c r="VAF53" s="760">
        <f t="shared" si="268"/>
        <v>1.0839241101695395E+195</v>
      </c>
      <c r="VAG53" s="760">
        <f t="shared" si="268"/>
        <v>1.1164418334746257E+195</v>
      </c>
      <c r="VAH53" s="760">
        <f t="shared" si="268"/>
        <v>1.1499350884788644E+195</v>
      </c>
      <c r="VAI53" s="760">
        <f t="shared" si="268"/>
        <v>1.1844331411332304E+195</v>
      </c>
      <c r="VAJ53" s="760">
        <f t="shared" si="268"/>
        <v>1.2199661353672274E+195</v>
      </c>
      <c r="VAK53" s="760">
        <f t="shared" si="268"/>
        <v>1.2565651194282442E+195</v>
      </c>
      <c r="VAL53" s="760">
        <f t="shared" si="268"/>
        <v>1.2942620730110915E+195</v>
      </c>
      <c r="VAM53" s="760">
        <f t="shared" si="268"/>
        <v>1.3330899352014242E+195</v>
      </c>
      <c r="VAN53" s="760">
        <f t="shared" si="268"/>
        <v>1.3730826332574669E+195</v>
      </c>
      <c r="VAO53" s="760">
        <f t="shared" si="268"/>
        <v>1.414275112255191E+195</v>
      </c>
      <c r="VAP53" s="760">
        <f t="shared" si="268"/>
        <v>1.4567033656228468E+195</v>
      </c>
      <c r="VAQ53" s="760">
        <f t="shared" si="268"/>
        <v>1.5004044665915322E+195</v>
      </c>
      <c r="VAR53" s="760">
        <f t="shared" si="268"/>
        <v>1.5454166005892783E+195</v>
      </c>
      <c r="VAS53" s="760">
        <f t="shared" si="268"/>
        <v>1.5917790986069567E+195</v>
      </c>
      <c r="VAT53" s="760">
        <f t="shared" si="268"/>
        <v>1.6395324715651655E+195</v>
      </c>
      <c r="VAU53" s="760">
        <f t="shared" ref="VAU53:VDF53" si="269">+VAT53*$C$53</f>
        <v>1.6887184457121205E+195</v>
      </c>
      <c r="VAV53" s="760">
        <f t="shared" si="269"/>
        <v>1.7393799990834842E+195</v>
      </c>
      <c r="VAW53" s="760">
        <f t="shared" si="269"/>
        <v>1.7915613990559889E+195</v>
      </c>
      <c r="VAX53" s="760">
        <f t="shared" si="269"/>
        <v>1.8453082410276686E+195</v>
      </c>
      <c r="VAY53" s="760">
        <f t="shared" si="269"/>
        <v>1.9006674882584987E+195</v>
      </c>
      <c r="VAZ53" s="760">
        <f t="shared" si="269"/>
        <v>1.9576875129062536E+195</v>
      </c>
      <c r="VBA53" s="760">
        <f t="shared" si="269"/>
        <v>2.0164181382934413E+195</v>
      </c>
      <c r="VBB53" s="760">
        <f t="shared" si="269"/>
        <v>2.0769106824422446E+195</v>
      </c>
      <c r="VBC53" s="760">
        <f t="shared" si="269"/>
        <v>2.139218002915512E+195</v>
      </c>
      <c r="VBD53" s="760">
        <f t="shared" si="269"/>
        <v>2.2033945430029774E+195</v>
      </c>
      <c r="VBE53" s="760">
        <f t="shared" si="269"/>
        <v>2.2694963792930667E+195</v>
      </c>
      <c r="VBF53" s="760">
        <f t="shared" si="269"/>
        <v>2.3375812706718585E+195</v>
      </c>
      <c r="VBG53" s="760">
        <f t="shared" si="269"/>
        <v>2.4077087087920141E+195</v>
      </c>
      <c r="VBH53" s="760">
        <f t="shared" si="269"/>
        <v>2.4799399700557745E+195</v>
      </c>
      <c r="VBI53" s="760">
        <f t="shared" si="269"/>
        <v>2.554338169157448E+195</v>
      </c>
      <c r="VBJ53" s="760">
        <f t="shared" si="269"/>
        <v>2.6309683142321716E+195</v>
      </c>
      <c r="VBK53" s="760">
        <f t="shared" si="269"/>
        <v>2.709897363659137E+195</v>
      </c>
      <c r="VBL53" s="760">
        <f t="shared" si="269"/>
        <v>2.791194284568911E+195</v>
      </c>
      <c r="VBM53" s="760">
        <f t="shared" si="269"/>
        <v>2.8749301131059784E+195</v>
      </c>
      <c r="VBN53" s="760">
        <f t="shared" si="269"/>
        <v>2.9611780164991578E+195</v>
      </c>
      <c r="VBO53" s="760">
        <f t="shared" si="269"/>
        <v>3.0500133569941327E+195</v>
      </c>
      <c r="VBP53" s="760">
        <f t="shared" si="269"/>
        <v>3.1415137577039566E+195</v>
      </c>
      <c r="VBQ53" s="760">
        <f t="shared" si="269"/>
        <v>3.2357591704350756E+195</v>
      </c>
      <c r="VBR53" s="760">
        <f t="shared" si="269"/>
        <v>3.332831945548128E+195</v>
      </c>
      <c r="VBS53" s="760">
        <f t="shared" si="269"/>
        <v>3.4328169039145717E+195</v>
      </c>
      <c r="VBT53" s="760">
        <f t="shared" si="269"/>
        <v>3.5358014110320089E+195</v>
      </c>
      <c r="VBU53" s="760">
        <f t="shared" si="269"/>
        <v>3.641875453362969E+195</v>
      </c>
      <c r="VBV53" s="760">
        <f t="shared" si="269"/>
        <v>3.7511317169638582E+195</v>
      </c>
      <c r="VBW53" s="760">
        <f t="shared" si="269"/>
        <v>3.8636656684727742E+195</v>
      </c>
      <c r="VBX53" s="760">
        <f t="shared" si="269"/>
        <v>3.9795756385269573E+195</v>
      </c>
      <c r="VBY53" s="760">
        <f t="shared" si="269"/>
        <v>4.0989629076827662E+195</v>
      </c>
      <c r="VBZ53" s="760">
        <f t="shared" si="269"/>
        <v>4.2219317949132492E+195</v>
      </c>
      <c r="VCA53" s="760">
        <f t="shared" si="269"/>
        <v>4.3485897487606467E+195</v>
      </c>
      <c r="VCB53" s="760">
        <f t="shared" si="269"/>
        <v>4.4790474412234661E+195</v>
      </c>
      <c r="VCC53" s="760">
        <f t="shared" si="269"/>
        <v>4.61341886446017E+195</v>
      </c>
      <c r="VCD53" s="760">
        <f t="shared" si="269"/>
        <v>4.7518214303939752E+195</v>
      </c>
      <c r="VCE53" s="760">
        <f t="shared" si="269"/>
        <v>4.8943760733057949E+195</v>
      </c>
      <c r="VCF53" s="760">
        <f t="shared" si="269"/>
        <v>5.0412073555049692E+195</v>
      </c>
      <c r="VCG53" s="760">
        <f t="shared" si="269"/>
        <v>5.1924435761701188E+195</v>
      </c>
      <c r="VCH53" s="760">
        <f t="shared" si="269"/>
        <v>5.3482168834552227E+195</v>
      </c>
      <c r="VCI53" s="760">
        <f t="shared" si="269"/>
        <v>5.5086633899588798E+195</v>
      </c>
      <c r="VCJ53" s="760">
        <f t="shared" si="269"/>
        <v>5.6739232916576464E+195</v>
      </c>
      <c r="VCK53" s="760">
        <f t="shared" si="269"/>
        <v>5.8441409904073764E+195</v>
      </c>
      <c r="VCL53" s="760">
        <f t="shared" si="269"/>
        <v>6.0194652201195983E+195</v>
      </c>
      <c r="VCM53" s="760">
        <f t="shared" si="269"/>
        <v>6.2000491767231868E+195</v>
      </c>
      <c r="VCN53" s="760">
        <f t="shared" si="269"/>
        <v>6.3860506520248825E+195</v>
      </c>
      <c r="VCO53" s="760">
        <f t="shared" si="269"/>
        <v>6.5776321715856291E+195</v>
      </c>
      <c r="VCP53" s="760">
        <f t="shared" si="269"/>
        <v>6.7749611367331986E+195</v>
      </c>
      <c r="VCQ53" s="760">
        <f t="shared" si="269"/>
        <v>6.9782099708351944E+195</v>
      </c>
      <c r="VCR53" s="760">
        <f t="shared" si="269"/>
        <v>7.1875562699602502E+195</v>
      </c>
      <c r="VCS53" s="760">
        <f t="shared" si="269"/>
        <v>7.4031829580590577E+195</v>
      </c>
      <c r="VCT53" s="760">
        <f t="shared" si="269"/>
        <v>7.6252784468008296E+195</v>
      </c>
      <c r="VCU53" s="760">
        <f t="shared" si="269"/>
        <v>7.8540368002048543E+195</v>
      </c>
      <c r="VCV53" s="760">
        <f t="shared" si="269"/>
        <v>8.0896579042109996E+195</v>
      </c>
      <c r="VCW53" s="760">
        <f t="shared" si="269"/>
        <v>8.3323476413373298E+195</v>
      </c>
      <c r="VCX53" s="760">
        <f t="shared" si="269"/>
        <v>8.5823180705774498E+195</v>
      </c>
      <c r="VCY53" s="760">
        <f t="shared" si="269"/>
        <v>8.8397876126947737E+195</v>
      </c>
      <c r="VCZ53" s="760">
        <f t="shared" si="269"/>
        <v>9.1049812410756175E+195</v>
      </c>
      <c r="VDA53" s="760">
        <f t="shared" si="269"/>
        <v>9.3781306783078861E+195</v>
      </c>
      <c r="VDB53" s="760">
        <f t="shared" si="269"/>
        <v>9.6594745986571232E+195</v>
      </c>
      <c r="VDC53" s="760">
        <f t="shared" si="269"/>
        <v>9.9492588366168368E+195</v>
      </c>
      <c r="VDD53" s="760">
        <f t="shared" si="269"/>
        <v>1.0247736601715342E+196</v>
      </c>
      <c r="VDE53" s="760">
        <f t="shared" si="269"/>
        <v>1.0555168699766801E+196</v>
      </c>
      <c r="VDF53" s="760">
        <f t="shared" si="269"/>
        <v>1.0871823760759805E+196</v>
      </c>
      <c r="VDG53" s="760">
        <f t="shared" ref="VDG53:VFR53" si="270">+VDF53*$C$53</f>
        <v>1.11979784735826E+196</v>
      </c>
      <c r="VDH53" s="760">
        <f t="shared" si="270"/>
        <v>1.1533917827790078E+196</v>
      </c>
      <c r="VDI53" s="760">
        <f t="shared" si="270"/>
        <v>1.1879935362623781E+196</v>
      </c>
      <c r="VDJ53" s="760">
        <f t="shared" si="270"/>
        <v>1.2236333423502495E+196</v>
      </c>
      <c r="VDK53" s="760">
        <f t="shared" si="270"/>
        <v>1.2603423426207569E+196</v>
      </c>
      <c r="VDL53" s="760">
        <f t="shared" si="270"/>
        <v>1.2981526128993796E+196</v>
      </c>
      <c r="VDM53" s="760">
        <f t="shared" si="270"/>
        <v>1.3370971912863611E+196</v>
      </c>
      <c r="VDN53" s="760">
        <f t="shared" si="270"/>
        <v>1.377210107024952E+196</v>
      </c>
      <c r="VDO53" s="760">
        <f t="shared" si="270"/>
        <v>1.4185264102357006E+196</v>
      </c>
      <c r="VDP53" s="760">
        <f t="shared" si="270"/>
        <v>1.4610822025427716E+196</v>
      </c>
      <c r="VDQ53" s="760">
        <f t="shared" si="270"/>
        <v>1.5049146686190548E+196</v>
      </c>
      <c r="VDR53" s="760">
        <f t="shared" si="270"/>
        <v>1.5500621086776264E+196</v>
      </c>
      <c r="VDS53" s="760">
        <f t="shared" si="270"/>
        <v>1.5965639719379553E+196</v>
      </c>
      <c r="VDT53" s="760">
        <f t="shared" si="270"/>
        <v>1.644460891096094E+196</v>
      </c>
      <c r="VDU53" s="760">
        <f t="shared" si="270"/>
        <v>1.6937947178289768E+196</v>
      </c>
      <c r="VDV53" s="760">
        <f t="shared" si="270"/>
        <v>1.7446085593638461E+196</v>
      </c>
      <c r="VDW53" s="760">
        <f t="shared" si="270"/>
        <v>1.7969468161447616E+196</v>
      </c>
      <c r="VDX53" s="760">
        <f t="shared" si="270"/>
        <v>1.8508552206291046E+196</v>
      </c>
      <c r="VDY53" s="760">
        <f t="shared" si="270"/>
        <v>1.9063808772479776E+196</v>
      </c>
      <c r="VDZ53" s="760">
        <f t="shared" si="270"/>
        <v>1.9635723035654169E+196</v>
      </c>
      <c r="VEA53" s="760">
        <f t="shared" si="270"/>
        <v>2.0224794726723795E+196</v>
      </c>
      <c r="VEB53" s="760">
        <f t="shared" si="270"/>
        <v>2.0831538568525508E+196</v>
      </c>
      <c r="VEC53" s="760">
        <f t="shared" si="270"/>
        <v>2.1456484725581275E+196</v>
      </c>
      <c r="VED53" s="760">
        <f t="shared" si="270"/>
        <v>2.2100179267348714E+196</v>
      </c>
      <c r="VEE53" s="760">
        <f t="shared" si="270"/>
        <v>2.2763184645369177E+196</v>
      </c>
      <c r="VEF53" s="760">
        <f t="shared" si="270"/>
        <v>2.3446080184730255E+196</v>
      </c>
      <c r="VEG53" s="760">
        <f t="shared" si="270"/>
        <v>2.4149462590272164E+196</v>
      </c>
      <c r="VEH53" s="760">
        <f t="shared" si="270"/>
        <v>2.4873946467980331E+196</v>
      </c>
      <c r="VEI53" s="760">
        <f t="shared" si="270"/>
        <v>2.5620164862019743E+196</v>
      </c>
      <c r="VEJ53" s="760">
        <f t="shared" si="270"/>
        <v>2.6388769807880336E+196</v>
      </c>
      <c r="VEK53" s="760">
        <f t="shared" si="270"/>
        <v>2.7180432902116745E+196</v>
      </c>
      <c r="VEL53" s="760">
        <f t="shared" si="270"/>
        <v>2.799584588918025E+196</v>
      </c>
      <c r="VEM53" s="760">
        <f t="shared" si="270"/>
        <v>2.8835721265855656E+196</v>
      </c>
      <c r="VEN53" s="760">
        <f t="shared" si="270"/>
        <v>2.9700792903831327E+196</v>
      </c>
      <c r="VEO53" s="760">
        <f t="shared" si="270"/>
        <v>3.0591816690946268E+196</v>
      </c>
      <c r="VEP53" s="760">
        <f t="shared" si="270"/>
        <v>3.1509571191674656E+196</v>
      </c>
      <c r="VEQ53" s="760">
        <f t="shared" si="270"/>
        <v>3.2454858327424896E+196</v>
      </c>
      <c r="VER53" s="760">
        <f t="shared" si="270"/>
        <v>3.3428504077247642E+196</v>
      </c>
      <c r="VES53" s="760">
        <f t="shared" si="270"/>
        <v>3.4431359199565073E+196</v>
      </c>
      <c r="VET53" s="760">
        <f t="shared" si="270"/>
        <v>3.5464299975552028E+196</v>
      </c>
      <c r="VEU53" s="760">
        <f t="shared" si="270"/>
        <v>3.652822897481859E+196</v>
      </c>
      <c r="VEV53" s="760">
        <f t="shared" si="270"/>
        <v>3.7624075844063147E+196</v>
      </c>
      <c r="VEW53" s="760">
        <f t="shared" si="270"/>
        <v>3.8752798119385041E+196</v>
      </c>
      <c r="VEX53" s="760">
        <f t="shared" si="270"/>
        <v>3.9915382062966596E+196</v>
      </c>
      <c r="VEY53" s="760">
        <f t="shared" si="270"/>
        <v>4.1112843524855596E+196</v>
      </c>
      <c r="VEZ53" s="760">
        <f t="shared" si="270"/>
        <v>4.2346228830601264E+196</v>
      </c>
      <c r="VFA53" s="760">
        <f t="shared" si="270"/>
        <v>4.3616615695519304E+196</v>
      </c>
      <c r="VFB53" s="760">
        <f t="shared" si="270"/>
        <v>4.4925114166384881E+196</v>
      </c>
      <c r="VFC53" s="760">
        <f t="shared" si="270"/>
        <v>4.6272867591376428E+196</v>
      </c>
      <c r="VFD53" s="760">
        <f t="shared" si="270"/>
        <v>4.7661053619117719E+196</v>
      </c>
      <c r="VFE53" s="760">
        <f t="shared" si="270"/>
        <v>4.9090885227691248E+196</v>
      </c>
      <c r="VFF53" s="760">
        <f t="shared" si="270"/>
        <v>5.0563611784521983E+196</v>
      </c>
      <c r="VFG53" s="760">
        <f t="shared" si="270"/>
        <v>5.2080520138057645E+196</v>
      </c>
      <c r="VFH53" s="760">
        <f t="shared" si="270"/>
        <v>5.3642935742199376E+196</v>
      </c>
      <c r="VFI53" s="760">
        <f t="shared" si="270"/>
        <v>5.5252223814465359E+196</v>
      </c>
      <c r="VFJ53" s="760">
        <f t="shared" si="270"/>
        <v>5.6909790528899319E+196</v>
      </c>
      <c r="VFK53" s="760">
        <f t="shared" si="270"/>
        <v>5.8617084244766302E+196</v>
      </c>
      <c r="VFL53" s="760">
        <f t="shared" si="270"/>
        <v>6.0375596772109296E+196</v>
      </c>
      <c r="VFM53" s="760">
        <f t="shared" si="270"/>
        <v>6.2186864675272578E+196</v>
      </c>
      <c r="VFN53" s="760">
        <f t="shared" si="270"/>
        <v>6.4052470615530753E+196</v>
      </c>
      <c r="VFO53" s="760">
        <f t="shared" si="270"/>
        <v>6.5974044733996679E+196</v>
      </c>
      <c r="VFP53" s="760">
        <f t="shared" si="270"/>
        <v>6.7953266076016585E+196</v>
      </c>
      <c r="VFQ53" s="760">
        <f t="shared" si="270"/>
        <v>6.9991864058297087E+196</v>
      </c>
      <c r="VFR53" s="760">
        <f t="shared" si="270"/>
        <v>7.2091619980045999E+196</v>
      </c>
      <c r="VFS53" s="760">
        <f t="shared" ref="VFS53:VID53" si="271">+VFR53*$C$53</f>
        <v>7.4254368579447377E+196</v>
      </c>
      <c r="VFT53" s="760">
        <f t="shared" si="271"/>
        <v>7.6481999636830803E+196</v>
      </c>
      <c r="VFU53" s="760">
        <f t="shared" si="271"/>
        <v>7.8776459625935734E+196</v>
      </c>
      <c r="VFV53" s="760">
        <f t="shared" si="271"/>
        <v>8.1139753414713816E+196</v>
      </c>
      <c r="VFW53" s="760">
        <f t="shared" si="271"/>
        <v>8.3573946017155225E+196</v>
      </c>
      <c r="VFX53" s="760">
        <f t="shared" si="271"/>
        <v>8.6081164397669885E+196</v>
      </c>
      <c r="VFY53" s="760">
        <f t="shared" si="271"/>
        <v>8.8663599329599984E+196</v>
      </c>
      <c r="VFZ53" s="760">
        <f t="shared" si="271"/>
        <v>9.1323507309487978E+196</v>
      </c>
      <c r="VGA53" s="760">
        <f t="shared" si="271"/>
        <v>9.4063212528772623E+196</v>
      </c>
      <c r="VGB53" s="760">
        <f t="shared" si="271"/>
        <v>9.6885108904635807E+196</v>
      </c>
      <c r="VGC53" s="760">
        <f t="shared" si="271"/>
        <v>9.9791662171774887E+196</v>
      </c>
      <c r="VGD53" s="760">
        <f t="shared" si="271"/>
        <v>1.0278541203692813E+197</v>
      </c>
      <c r="VGE53" s="760">
        <f t="shared" si="271"/>
        <v>1.0586897439803598E+197</v>
      </c>
      <c r="VGF53" s="760">
        <f t="shared" si="271"/>
        <v>1.0904504362997706E+197</v>
      </c>
      <c r="VGG53" s="760">
        <f t="shared" si="271"/>
        <v>1.1231639493887639E+197</v>
      </c>
      <c r="VGH53" s="760">
        <f t="shared" si="271"/>
        <v>1.1568588678704269E+197</v>
      </c>
      <c r="VGI53" s="760">
        <f t="shared" si="271"/>
        <v>1.1915646339065397E+197</v>
      </c>
      <c r="VGJ53" s="760">
        <f t="shared" si="271"/>
        <v>1.2273115729237358E+197</v>
      </c>
      <c r="VGK53" s="760">
        <f t="shared" si="271"/>
        <v>1.264130920111448E+197</v>
      </c>
      <c r="VGL53" s="760">
        <f t="shared" si="271"/>
        <v>1.3020548477147916E+197</v>
      </c>
      <c r="VGM53" s="760">
        <f t="shared" si="271"/>
        <v>1.3411164931462353E+197</v>
      </c>
      <c r="VGN53" s="760">
        <f t="shared" si="271"/>
        <v>1.3813499879406223E+197</v>
      </c>
      <c r="VGO53" s="760">
        <f t="shared" si="271"/>
        <v>1.422790487578841E+197</v>
      </c>
      <c r="VGP53" s="760">
        <f t="shared" si="271"/>
        <v>1.4654742022062062E+197</v>
      </c>
      <c r="VGQ53" s="760">
        <f t="shared" si="271"/>
        <v>1.5094384282723925E+197</v>
      </c>
      <c r="VGR53" s="760">
        <f t="shared" si="271"/>
        <v>1.5547215811205642E+197</v>
      </c>
      <c r="VGS53" s="760">
        <f t="shared" si="271"/>
        <v>1.6013632285541811E+197</v>
      </c>
      <c r="VGT53" s="760">
        <f t="shared" si="271"/>
        <v>1.6494041254108068E+197</v>
      </c>
      <c r="VGU53" s="760">
        <f t="shared" si="271"/>
        <v>1.6988862491731311E+197</v>
      </c>
      <c r="VGV53" s="760">
        <f t="shared" si="271"/>
        <v>1.749852836648325E+197</v>
      </c>
      <c r="VGW53" s="760">
        <f t="shared" si="271"/>
        <v>1.8023484217477748E+197</v>
      </c>
      <c r="VGX53" s="760">
        <f t="shared" si="271"/>
        <v>1.8564188744002082E+197</v>
      </c>
      <c r="VGY53" s="760">
        <f t="shared" si="271"/>
        <v>1.9121114406322146E+197</v>
      </c>
      <c r="VGZ53" s="760">
        <f t="shared" si="271"/>
        <v>1.9694747838511812E+197</v>
      </c>
      <c r="VHA53" s="760">
        <f t="shared" si="271"/>
        <v>2.0285590273667168E+197</v>
      </c>
      <c r="VHB53" s="760">
        <f t="shared" si="271"/>
        <v>2.0894157981877185E+197</v>
      </c>
      <c r="VHC53" s="760">
        <f t="shared" si="271"/>
        <v>2.15209827213335E+197</v>
      </c>
      <c r="VHD53" s="760">
        <f t="shared" si="271"/>
        <v>2.2166612202973506E+197</v>
      </c>
      <c r="VHE53" s="760">
        <f t="shared" si="271"/>
        <v>2.2831610569062711E+197</v>
      </c>
      <c r="VHF53" s="760">
        <f t="shared" si="271"/>
        <v>2.3516558886134594E+197</v>
      </c>
      <c r="VHG53" s="760">
        <f t="shared" si="271"/>
        <v>2.4222055652718633E+197</v>
      </c>
      <c r="VHH53" s="760">
        <f t="shared" si="271"/>
        <v>2.4948717322300194E+197</v>
      </c>
      <c r="VHI53" s="760">
        <f t="shared" si="271"/>
        <v>2.5697178841969201E+197</v>
      </c>
      <c r="VHJ53" s="760">
        <f t="shared" si="271"/>
        <v>2.6468094207228278E+197</v>
      </c>
      <c r="VHK53" s="760">
        <f t="shared" si="271"/>
        <v>2.7262137033445128E+197</v>
      </c>
      <c r="VHL53" s="760">
        <f t="shared" si="271"/>
        <v>2.8080001144448483E+197</v>
      </c>
      <c r="VHM53" s="760">
        <f t="shared" si="271"/>
        <v>2.8922401178781938E+197</v>
      </c>
      <c r="VHN53" s="760">
        <f t="shared" si="271"/>
        <v>2.9790073214145395E+197</v>
      </c>
      <c r="VHO53" s="760">
        <f t="shared" si="271"/>
        <v>3.0683775410569755E+197</v>
      </c>
      <c r="VHP53" s="760">
        <f t="shared" si="271"/>
        <v>3.1604288672886847E+197</v>
      </c>
      <c r="VHQ53" s="760">
        <f t="shared" si="271"/>
        <v>3.2552417333073455E+197</v>
      </c>
      <c r="VHR53" s="760">
        <f t="shared" si="271"/>
        <v>3.3528989853065661E+197</v>
      </c>
      <c r="VHS53" s="760">
        <f t="shared" si="271"/>
        <v>3.4534859548657631E+197</v>
      </c>
      <c r="VHT53" s="760">
        <f t="shared" si="271"/>
        <v>3.557090533511736E+197</v>
      </c>
      <c r="VHU53" s="760">
        <f t="shared" si="271"/>
        <v>3.6638032495170882E+197</v>
      </c>
      <c r="VHV53" s="760">
        <f t="shared" si="271"/>
        <v>3.7737173470026009E+197</v>
      </c>
      <c r="VHW53" s="760">
        <f t="shared" si="271"/>
        <v>3.8869288674126787E+197</v>
      </c>
      <c r="VHX53" s="760">
        <f t="shared" si="271"/>
        <v>4.0035367334350592E+197</v>
      </c>
      <c r="VHY53" s="760">
        <f t="shared" si="271"/>
        <v>4.1236428354381114E+197</v>
      </c>
      <c r="VHZ53" s="760">
        <f t="shared" si="271"/>
        <v>4.2473521205012551E+197</v>
      </c>
      <c r="VIA53" s="760">
        <f t="shared" si="271"/>
        <v>4.3747726841162927E+197</v>
      </c>
      <c r="VIB53" s="760">
        <f t="shared" si="271"/>
        <v>4.5060158646397817E+197</v>
      </c>
      <c r="VIC53" s="760">
        <f t="shared" si="271"/>
        <v>4.6411963405789751E+197</v>
      </c>
      <c r="VID53" s="760">
        <f t="shared" si="271"/>
        <v>4.7804322307963447E+197</v>
      </c>
      <c r="VIE53" s="760">
        <f t="shared" ref="VIE53:VKP53" si="272">+VID53*$C$53</f>
        <v>4.9238451977202355E+197</v>
      </c>
      <c r="VIF53" s="760">
        <f t="shared" si="272"/>
        <v>5.0715605536518426E+197</v>
      </c>
      <c r="VIG53" s="760">
        <f t="shared" si="272"/>
        <v>5.2237073702613979E+197</v>
      </c>
      <c r="VIH53" s="760">
        <f t="shared" si="272"/>
        <v>5.3804185913692397E+197</v>
      </c>
      <c r="VII53" s="760">
        <f t="shared" si="272"/>
        <v>5.5418311491103168E+197</v>
      </c>
      <c r="VIJ53" s="760">
        <f t="shared" si="272"/>
        <v>5.7080860835836268E+197</v>
      </c>
      <c r="VIK53" s="760">
        <f t="shared" si="272"/>
        <v>5.8793286660911355E+197</v>
      </c>
      <c r="VIL53" s="760">
        <f t="shared" si="272"/>
        <v>6.0557085260738702E+197</v>
      </c>
      <c r="VIM53" s="760">
        <f t="shared" si="272"/>
        <v>6.2373797818560865E+197</v>
      </c>
      <c r="VIN53" s="760">
        <f t="shared" si="272"/>
        <v>6.4245011753117692E+197</v>
      </c>
      <c r="VIO53" s="760">
        <f t="shared" si="272"/>
        <v>6.617236210571122E+197</v>
      </c>
      <c r="VIP53" s="760">
        <f t="shared" si="272"/>
        <v>6.8157532968882552E+197</v>
      </c>
      <c r="VIQ53" s="760">
        <f t="shared" si="272"/>
        <v>7.0202258957949033E+197</v>
      </c>
      <c r="VIR53" s="760">
        <f t="shared" si="272"/>
        <v>7.2308326726687502E+197</v>
      </c>
      <c r="VIS53" s="760">
        <f t="shared" si="272"/>
        <v>7.4477576528488129E+197</v>
      </c>
      <c r="VIT53" s="760">
        <f t="shared" si="272"/>
        <v>7.6711903824342778E+197</v>
      </c>
      <c r="VIU53" s="760">
        <f t="shared" si="272"/>
        <v>7.9013260939073068E+197</v>
      </c>
      <c r="VIV53" s="760">
        <f t="shared" si="272"/>
        <v>8.1383658767245259E+197</v>
      </c>
      <c r="VIW53" s="760">
        <f t="shared" si="272"/>
        <v>8.3825168530262622E+197</v>
      </c>
      <c r="VIX53" s="760">
        <f t="shared" si="272"/>
        <v>8.6339923586170504E+197</v>
      </c>
      <c r="VIY53" s="760">
        <f t="shared" si="272"/>
        <v>8.8930121293755616E+197</v>
      </c>
      <c r="VIZ53" s="760">
        <f t="shared" si="272"/>
        <v>9.1598024932568281E+197</v>
      </c>
      <c r="VJA53" s="760">
        <f t="shared" si="272"/>
        <v>9.4345965680545337E+197</v>
      </c>
      <c r="VJB53" s="760">
        <f t="shared" si="272"/>
        <v>9.7176344650961699E+197</v>
      </c>
      <c r="VJC53" s="760">
        <f t="shared" si="272"/>
        <v>1.0009163499049055E+198</v>
      </c>
      <c r="VJD53" s="760">
        <f t="shared" si="272"/>
        <v>1.0309438404020527E+198</v>
      </c>
      <c r="VJE53" s="760">
        <f t="shared" si="272"/>
        <v>1.0618721556141143E+198</v>
      </c>
      <c r="VJF53" s="760">
        <f t="shared" si="272"/>
        <v>1.0937283202825378E+198</v>
      </c>
      <c r="VJG53" s="760">
        <f t="shared" si="272"/>
        <v>1.1265401698910139E+198</v>
      </c>
      <c r="VJH53" s="760">
        <f t="shared" si="272"/>
        <v>1.1603363749877444E+198</v>
      </c>
      <c r="VJI53" s="760">
        <f t="shared" si="272"/>
        <v>1.1951464662373768E+198</v>
      </c>
      <c r="VJJ53" s="760">
        <f t="shared" si="272"/>
        <v>1.2310008602244981E+198</v>
      </c>
      <c r="VJK53" s="760">
        <f t="shared" si="272"/>
        <v>1.2679308860312331E+198</v>
      </c>
      <c r="VJL53" s="760">
        <f t="shared" si="272"/>
        <v>1.3059688126121701E+198</v>
      </c>
      <c r="VJM53" s="760">
        <f t="shared" si="272"/>
        <v>1.3451478769905352E+198</v>
      </c>
      <c r="VJN53" s="760">
        <f t="shared" si="272"/>
        <v>1.3855023133002512E+198</v>
      </c>
      <c r="VJO53" s="760">
        <f t="shared" si="272"/>
        <v>1.4270673826992587E+198</v>
      </c>
      <c r="VJP53" s="760">
        <f t="shared" si="272"/>
        <v>1.4698794041802364E+198</v>
      </c>
      <c r="VJQ53" s="760">
        <f t="shared" si="272"/>
        <v>1.5139757863056436E+198</v>
      </c>
      <c r="VJR53" s="760">
        <f t="shared" si="272"/>
        <v>1.5593950598948131E+198</v>
      </c>
      <c r="VJS53" s="760">
        <f t="shared" si="272"/>
        <v>1.6061769116916574E+198</v>
      </c>
      <c r="VJT53" s="760">
        <f t="shared" si="272"/>
        <v>1.6543622190424072E+198</v>
      </c>
      <c r="VJU53" s="760">
        <f t="shared" si="272"/>
        <v>1.7039930856136794E+198</v>
      </c>
      <c r="VJV53" s="760">
        <f t="shared" si="272"/>
        <v>1.7551128781820898E+198</v>
      </c>
      <c r="VJW53" s="760">
        <f t="shared" si="272"/>
        <v>1.8077662645275526E+198</v>
      </c>
      <c r="VJX53" s="760">
        <f t="shared" si="272"/>
        <v>1.8619992524633794E+198</v>
      </c>
      <c r="VJY53" s="760">
        <f t="shared" si="272"/>
        <v>1.9178592300372809E+198</v>
      </c>
      <c r="VJZ53" s="760">
        <f t="shared" si="272"/>
        <v>1.9753950069383994E+198</v>
      </c>
      <c r="VKA53" s="760">
        <f t="shared" si="272"/>
        <v>2.0346568571465515E+198</v>
      </c>
      <c r="VKB53" s="760">
        <f t="shared" si="272"/>
        <v>2.0956965628609481E+198</v>
      </c>
      <c r="VKC53" s="760">
        <f t="shared" si="272"/>
        <v>2.1585674597467765E+198</v>
      </c>
      <c r="VKD53" s="760">
        <f t="shared" si="272"/>
        <v>2.2233244835391798E+198</v>
      </c>
      <c r="VKE53" s="760">
        <f t="shared" si="272"/>
        <v>2.2900242180453553E+198</v>
      </c>
      <c r="VKF53" s="760">
        <f t="shared" si="272"/>
        <v>2.3587249445867159E+198</v>
      </c>
      <c r="VKG53" s="760">
        <f t="shared" si="272"/>
        <v>2.4294866929243175E+198</v>
      </c>
      <c r="VKH53" s="760">
        <f t="shared" si="272"/>
        <v>2.5023712937120469E+198</v>
      </c>
      <c r="VKI53" s="760">
        <f t="shared" si="272"/>
        <v>2.5774424325234085E+198</v>
      </c>
      <c r="VKJ53" s="760">
        <f t="shared" si="272"/>
        <v>2.654765705499111E+198</v>
      </c>
      <c r="VKK53" s="760">
        <f t="shared" si="272"/>
        <v>2.7344086766640846E+198</v>
      </c>
      <c r="VKL53" s="760">
        <f t="shared" si="272"/>
        <v>2.8164409369640072E+198</v>
      </c>
      <c r="VKM53" s="760">
        <f t="shared" si="272"/>
        <v>2.9009341650729275E+198</v>
      </c>
      <c r="VKN53" s="760">
        <f t="shared" si="272"/>
        <v>2.9879621900251155E+198</v>
      </c>
      <c r="VKO53" s="760">
        <f t="shared" si="272"/>
        <v>3.0776010557258692E+198</v>
      </c>
      <c r="VKP53" s="760">
        <f t="shared" si="272"/>
        <v>3.1699290873976456E+198</v>
      </c>
      <c r="VKQ53" s="760">
        <f t="shared" ref="VKQ53:VNB53" si="273">+VKP53*$C$53</f>
        <v>3.2650269600195752E+198</v>
      </c>
      <c r="VKR53" s="760">
        <f t="shared" si="273"/>
        <v>3.3629777688201627E+198</v>
      </c>
      <c r="VKS53" s="760">
        <f t="shared" si="273"/>
        <v>3.4638671018847675E+198</v>
      </c>
      <c r="VKT53" s="760">
        <f t="shared" si="273"/>
        <v>3.5677831149413105E+198</v>
      </c>
      <c r="VKU53" s="760">
        <f t="shared" si="273"/>
        <v>3.6748166083895498E+198</v>
      </c>
      <c r="VKV53" s="760">
        <f t="shared" si="273"/>
        <v>3.7850611066412366E+198</v>
      </c>
      <c r="VKW53" s="760">
        <f t="shared" si="273"/>
        <v>3.8986129398404737E+198</v>
      </c>
      <c r="VKX53" s="760">
        <f t="shared" si="273"/>
        <v>4.0155713280356882E+198</v>
      </c>
      <c r="VKY53" s="760">
        <f t="shared" si="273"/>
        <v>4.1360384678767589E+198</v>
      </c>
      <c r="VKZ53" s="760">
        <f t="shared" si="273"/>
        <v>4.2601196219130615E+198</v>
      </c>
      <c r="VLA53" s="760">
        <f t="shared" si="273"/>
        <v>4.3879232105704537E+198</v>
      </c>
      <c r="VLB53" s="760">
        <f t="shared" si="273"/>
        <v>4.5195609068875672E+198</v>
      </c>
      <c r="VLC53" s="760">
        <f t="shared" si="273"/>
        <v>4.6551477340941942E+198</v>
      </c>
      <c r="VLD53" s="760">
        <f t="shared" si="273"/>
        <v>4.7948021661170199E+198</v>
      </c>
      <c r="VLE53" s="760">
        <f t="shared" si="273"/>
        <v>4.9386462311005312E+198</v>
      </c>
      <c r="VLF53" s="760">
        <f t="shared" si="273"/>
        <v>5.0868056180335476E+198</v>
      </c>
      <c r="VLG53" s="760">
        <f t="shared" si="273"/>
        <v>5.2394097865745545E+198</v>
      </c>
      <c r="VLH53" s="760">
        <f t="shared" si="273"/>
        <v>5.3965920801717915E+198</v>
      </c>
      <c r="VLI53" s="760">
        <f t="shared" si="273"/>
        <v>5.5584898425769455E+198</v>
      </c>
      <c r="VLJ53" s="760">
        <f t="shared" si="273"/>
        <v>5.7252445378542536E+198</v>
      </c>
      <c r="VLK53" s="760">
        <f t="shared" si="273"/>
        <v>5.8970018739898818E+198</v>
      </c>
      <c r="VLL53" s="760">
        <f t="shared" si="273"/>
        <v>6.0739119302095789E+198</v>
      </c>
      <c r="VLM53" s="760">
        <f t="shared" si="273"/>
        <v>6.2561292881158663E+198</v>
      </c>
      <c r="VLN53" s="760">
        <f t="shared" si="273"/>
        <v>6.4438131667593423E+198</v>
      </c>
      <c r="VLO53" s="760">
        <f t="shared" si="273"/>
        <v>6.637127561762123E+198</v>
      </c>
      <c r="VLP53" s="760">
        <f t="shared" si="273"/>
        <v>6.8362413886149872E+198</v>
      </c>
      <c r="VLQ53" s="760">
        <f t="shared" si="273"/>
        <v>7.041328630273437E+198</v>
      </c>
      <c r="VLR53" s="760">
        <f t="shared" si="273"/>
        <v>7.2525684891816398E+198</v>
      </c>
      <c r="VLS53" s="760">
        <f t="shared" si="273"/>
        <v>7.4701455438570888E+198</v>
      </c>
      <c r="VLT53" s="760">
        <f t="shared" si="273"/>
        <v>7.6942499101728016E+198</v>
      </c>
      <c r="VLU53" s="760">
        <f t="shared" si="273"/>
        <v>7.925077407477986E+198</v>
      </c>
      <c r="VLV53" s="760">
        <f t="shared" si="273"/>
        <v>8.162829729702326E+198</v>
      </c>
      <c r="VLW53" s="760">
        <f t="shared" si="273"/>
        <v>8.407714621593396E+198</v>
      </c>
      <c r="VLX53" s="760">
        <f t="shared" si="273"/>
        <v>8.6599460602411977E+198</v>
      </c>
      <c r="VLY53" s="760">
        <f t="shared" si="273"/>
        <v>8.9197444420484342E+198</v>
      </c>
      <c r="VLZ53" s="760">
        <f t="shared" si="273"/>
        <v>9.187336775309887E+198</v>
      </c>
      <c r="VMA53" s="760">
        <f t="shared" si="273"/>
        <v>9.4629568785691843E+198</v>
      </c>
      <c r="VMB53" s="760">
        <f t="shared" si="273"/>
        <v>9.746845584926259E+198</v>
      </c>
      <c r="VMC53" s="760">
        <f t="shared" si="273"/>
        <v>1.0039250952474047E+199</v>
      </c>
      <c r="VMD53" s="760">
        <f t="shared" si="273"/>
        <v>1.0340428481048269E+199</v>
      </c>
      <c r="VME53" s="760">
        <f t="shared" si="273"/>
        <v>1.0650641335479717E+199</v>
      </c>
      <c r="VMF53" s="760">
        <f t="shared" si="273"/>
        <v>1.0970160575544108E+199</v>
      </c>
      <c r="VMG53" s="760">
        <f t="shared" si="273"/>
        <v>1.1299265392810431E+199</v>
      </c>
      <c r="VMH53" s="760">
        <f t="shared" si="273"/>
        <v>1.1638243354594744E+199</v>
      </c>
      <c r="VMI53" s="760">
        <f t="shared" si="273"/>
        <v>1.1987390655232586E+199</v>
      </c>
      <c r="VMJ53" s="760">
        <f t="shared" si="273"/>
        <v>1.2347012374889564E+199</v>
      </c>
      <c r="VMK53" s="760">
        <f t="shared" si="273"/>
        <v>1.2717422746136252E+199</v>
      </c>
      <c r="VML53" s="760">
        <f t="shared" si="273"/>
        <v>1.309894542852034E+199</v>
      </c>
      <c r="VMM53" s="760">
        <f t="shared" si="273"/>
        <v>1.349191379137595E+199</v>
      </c>
      <c r="VMN53" s="760">
        <f t="shared" si="273"/>
        <v>1.3896671205117229E+199</v>
      </c>
      <c r="VMO53" s="760">
        <f t="shared" si="273"/>
        <v>1.4313571341270747E+199</v>
      </c>
      <c r="VMP53" s="760">
        <f t="shared" si="273"/>
        <v>1.474297848150887E+199</v>
      </c>
      <c r="VMQ53" s="760">
        <f t="shared" si="273"/>
        <v>1.5185267835954137E+199</v>
      </c>
      <c r="VMR53" s="760">
        <f t="shared" si="273"/>
        <v>1.5640825871032762E+199</v>
      </c>
      <c r="VMS53" s="760">
        <f t="shared" si="273"/>
        <v>1.6110050647163744E+199</v>
      </c>
      <c r="VMT53" s="760">
        <f t="shared" si="273"/>
        <v>1.6593352166578657E+199</v>
      </c>
      <c r="VMU53" s="760">
        <f t="shared" si="273"/>
        <v>1.7091152731576017E+199</v>
      </c>
      <c r="VMV53" s="760">
        <f t="shared" si="273"/>
        <v>1.7603887313523298E+199</v>
      </c>
      <c r="VMW53" s="760">
        <f t="shared" si="273"/>
        <v>1.8132003932928996E+199</v>
      </c>
      <c r="VMX53" s="760">
        <f t="shared" si="273"/>
        <v>1.8675964050916867E+199</v>
      </c>
      <c r="VMY53" s="760">
        <f t="shared" si="273"/>
        <v>1.9236242972444374E+199</v>
      </c>
      <c r="VMZ53" s="760">
        <f t="shared" si="273"/>
        <v>1.9813330261617706E+199</v>
      </c>
      <c r="VNA53" s="760">
        <f t="shared" si="273"/>
        <v>2.0407730169466237E+199</v>
      </c>
      <c r="VNB53" s="760">
        <f t="shared" si="273"/>
        <v>2.1019962074550224E+199</v>
      </c>
      <c r="VNC53" s="760">
        <f t="shared" ref="VNC53:VPN53" si="274">+VNB53*$C$53</f>
        <v>2.1650560936786733E+199</v>
      </c>
      <c r="VND53" s="760">
        <f t="shared" si="274"/>
        <v>2.2300077764890335E+199</v>
      </c>
      <c r="VNE53" s="760">
        <f t="shared" si="274"/>
        <v>2.2969080097837045E+199</v>
      </c>
      <c r="VNF53" s="760">
        <f t="shared" si="274"/>
        <v>2.3658152500772157E+199</v>
      </c>
      <c r="VNG53" s="760">
        <f t="shared" si="274"/>
        <v>2.4367897075795323E+199</v>
      </c>
      <c r="VNH53" s="760">
        <f t="shared" si="274"/>
        <v>2.5098933988069185E+199</v>
      </c>
      <c r="VNI53" s="760">
        <f t="shared" si="274"/>
        <v>2.5851902007711263E+199</v>
      </c>
      <c r="VNJ53" s="760">
        <f t="shared" si="274"/>
        <v>2.6627459067942601E+199</v>
      </c>
      <c r="VNK53" s="760">
        <f t="shared" si="274"/>
        <v>2.7426282839980881E+199</v>
      </c>
      <c r="VNL53" s="760">
        <f t="shared" si="274"/>
        <v>2.8249071325180307E+199</v>
      </c>
      <c r="VNM53" s="760">
        <f t="shared" si="274"/>
        <v>2.9096543464935719E+199</v>
      </c>
      <c r="VNN53" s="760">
        <f t="shared" si="274"/>
        <v>2.996943976888379E+199</v>
      </c>
      <c r="VNO53" s="760">
        <f t="shared" si="274"/>
        <v>3.0868522961950304E+199</v>
      </c>
      <c r="VNP53" s="760">
        <f t="shared" si="274"/>
        <v>3.1794578650808812E+199</v>
      </c>
      <c r="VNQ53" s="760">
        <f t="shared" si="274"/>
        <v>3.2748416010333078E+199</v>
      </c>
      <c r="VNR53" s="760">
        <f t="shared" si="274"/>
        <v>3.3730868490643073E+199</v>
      </c>
      <c r="VNS53" s="760">
        <f t="shared" si="274"/>
        <v>3.4742794545362367E+199</v>
      </c>
      <c r="VNT53" s="760">
        <f t="shared" si="274"/>
        <v>3.5785078381723237E+199</v>
      </c>
      <c r="VNU53" s="760">
        <f t="shared" si="274"/>
        <v>3.6858630733174936E+199</v>
      </c>
      <c r="VNV53" s="760">
        <f t="shared" si="274"/>
        <v>3.7964389655170186E+199</v>
      </c>
      <c r="VNW53" s="760">
        <f t="shared" si="274"/>
        <v>3.9103321344825291E+199</v>
      </c>
      <c r="VNX53" s="760">
        <f t="shared" si="274"/>
        <v>4.0276420985170049E+199</v>
      </c>
      <c r="VNY53" s="760">
        <f t="shared" si="274"/>
        <v>4.1484713614725153E+199</v>
      </c>
      <c r="VNZ53" s="760">
        <f t="shared" si="274"/>
        <v>4.2729255023166907E+199</v>
      </c>
      <c r="VOA53" s="760">
        <f t="shared" si="274"/>
        <v>4.4011132673861913E+199</v>
      </c>
      <c r="VOB53" s="760">
        <f t="shared" si="274"/>
        <v>4.5331466654077768E+199</v>
      </c>
      <c r="VOC53" s="760">
        <f t="shared" si="274"/>
        <v>4.6691410653700105E+199</v>
      </c>
      <c r="VOD53" s="760">
        <f t="shared" si="274"/>
        <v>4.8092152973311108E+199</v>
      </c>
      <c r="VOE53" s="760">
        <f t="shared" si="274"/>
        <v>4.9534917562510441E+199</v>
      </c>
      <c r="VOF53" s="760">
        <f t="shared" si="274"/>
        <v>5.1020965089385755E+199</v>
      </c>
      <c r="VOG53" s="760">
        <f t="shared" si="274"/>
        <v>5.2551594042067326E+199</v>
      </c>
      <c r="VOH53" s="760">
        <f t="shared" si="274"/>
        <v>5.4128141863329348E+199</v>
      </c>
      <c r="VOI53" s="760">
        <f t="shared" si="274"/>
        <v>5.575198611922923E+199</v>
      </c>
      <c r="VOJ53" s="760">
        <f t="shared" si="274"/>
        <v>5.742454570280611E+199</v>
      </c>
      <c r="VOK53" s="760">
        <f t="shared" si="274"/>
        <v>5.9147282073890295E+199</v>
      </c>
      <c r="VOL53" s="760">
        <f t="shared" si="274"/>
        <v>6.0921700536107006E+199</v>
      </c>
      <c r="VOM53" s="760">
        <f t="shared" si="274"/>
        <v>6.2749351552190219E+199</v>
      </c>
      <c r="VON53" s="760">
        <f t="shared" si="274"/>
        <v>6.4631832098755925E+199</v>
      </c>
      <c r="VOO53" s="760">
        <f t="shared" si="274"/>
        <v>6.6570787061718601E+199</v>
      </c>
      <c r="VOP53" s="760">
        <f t="shared" si="274"/>
        <v>6.8567910673570162E+199</v>
      </c>
      <c r="VOQ53" s="760">
        <f t="shared" si="274"/>
        <v>7.0624947993777266E+199</v>
      </c>
      <c r="VOR53" s="760">
        <f t="shared" si="274"/>
        <v>7.2743696433590582E+199</v>
      </c>
      <c r="VOS53" s="760">
        <f t="shared" si="274"/>
        <v>7.4926007326598304E+199</v>
      </c>
      <c r="VOT53" s="760">
        <f t="shared" si="274"/>
        <v>7.7173787546396251E+199</v>
      </c>
      <c r="VOU53" s="760">
        <f t="shared" si="274"/>
        <v>7.9489001172788141E+199</v>
      </c>
      <c r="VOV53" s="760">
        <f t="shared" si="274"/>
        <v>8.187367120797178E+199</v>
      </c>
      <c r="VOW53" s="760">
        <f t="shared" si="274"/>
        <v>8.4329881344210938E+199</v>
      </c>
      <c r="VOX53" s="760">
        <f t="shared" si="274"/>
        <v>8.6859777784537262E+199</v>
      </c>
      <c r="VOY53" s="760">
        <f t="shared" si="274"/>
        <v>8.9465571118073383E+199</v>
      </c>
      <c r="VOZ53" s="760">
        <f t="shared" si="274"/>
        <v>9.214953825161559E+199</v>
      </c>
      <c r="VPA53" s="760">
        <f t="shared" si="274"/>
        <v>9.4914024399164063E+199</v>
      </c>
      <c r="VPB53" s="760">
        <f t="shared" si="274"/>
        <v>9.7761445131138994E+199</v>
      </c>
      <c r="VPC53" s="760">
        <f t="shared" si="274"/>
        <v>1.0069428848507316E+200</v>
      </c>
      <c r="VPD53" s="760">
        <f t="shared" si="274"/>
        <v>1.0371511713962537E+200</v>
      </c>
      <c r="VPE53" s="760">
        <f t="shared" si="274"/>
        <v>1.0682657065381413E+200</v>
      </c>
      <c r="VPF53" s="760">
        <f t="shared" si="274"/>
        <v>1.1003136777342855E+200</v>
      </c>
      <c r="VPG53" s="760">
        <f t="shared" si="274"/>
        <v>1.1333230880663141E+200</v>
      </c>
      <c r="VPH53" s="760">
        <f t="shared" si="274"/>
        <v>1.1673227807083036E+200</v>
      </c>
      <c r="VPI53" s="760">
        <f t="shared" si="274"/>
        <v>1.2023424641295527E+200</v>
      </c>
      <c r="VPJ53" s="760">
        <f t="shared" si="274"/>
        <v>1.2384127380534392E+200</v>
      </c>
      <c r="VPK53" s="760">
        <f t="shared" si="274"/>
        <v>1.2755651201950423E+200</v>
      </c>
      <c r="VPL53" s="760">
        <f t="shared" si="274"/>
        <v>1.3138320738008936E+200</v>
      </c>
      <c r="VPM53" s="760">
        <f t="shared" si="274"/>
        <v>1.3532470360149205E+200</v>
      </c>
      <c r="VPN53" s="760">
        <f t="shared" si="274"/>
        <v>1.3938444470953682E+200</v>
      </c>
      <c r="VPO53" s="760">
        <f t="shared" ref="VPO53:VRZ53" si="275">+VPN53*$C$53</f>
        <v>1.4356597805082293E+200</v>
      </c>
      <c r="VPP53" s="760">
        <f t="shared" si="275"/>
        <v>1.4787295739234763E+200</v>
      </c>
      <c r="VPQ53" s="760">
        <f t="shared" si="275"/>
        <v>1.5230914611411807E+200</v>
      </c>
      <c r="VPR53" s="760">
        <f t="shared" si="275"/>
        <v>1.568784204975416E+200</v>
      </c>
      <c r="VPS53" s="760">
        <f t="shared" si="275"/>
        <v>1.6158477311246786E+200</v>
      </c>
      <c r="VPT53" s="760">
        <f t="shared" si="275"/>
        <v>1.6643231630584191E+200</v>
      </c>
      <c r="VPU53" s="760">
        <f t="shared" si="275"/>
        <v>1.7142528579501717E+200</v>
      </c>
      <c r="VPV53" s="760">
        <f t="shared" si="275"/>
        <v>1.7656804436886769E+200</v>
      </c>
      <c r="VPW53" s="760">
        <f t="shared" si="275"/>
        <v>1.8186508569993374E+200</v>
      </c>
      <c r="VPX53" s="760">
        <f t="shared" si="275"/>
        <v>1.8732103827093175E+200</v>
      </c>
      <c r="VPY53" s="760">
        <f t="shared" si="275"/>
        <v>1.9294066941905972E+200</v>
      </c>
      <c r="VPZ53" s="760">
        <f t="shared" si="275"/>
        <v>1.987288895016315E+200</v>
      </c>
      <c r="VQA53" s="760">
        <f t="shared" si="275"/>
        <v>2.0469075618668045E+200</v>
      </c>
      <c r="VQB53" s="760">
        <f t="shared" si="275"/>
        <v>2.1083147887228086E+200</v>
      </c>
      <c r="VQC53" s="760">
        <f t="shared" si="275"/>
        <v>2.171564232384493E+200</v>
      </c>
      <c r="VQD53" s="760">
        <f t="shared" si="275"/>
        <v>2.236711159356028E+200</v>
      </c>
      <c r="VQE53" s="760">
        <f t="shared" si="275"/>
        <v>2.3038124941367089E+200</v>
      </c>
      <c r="VQF53" s="760">
        <f t="shared" si="275"/>
        <v>2.3729268689608102E+200</v>
      </c>
      <c r="VQG53" s="760">
        <f t="shared" si="275"/>
        <v>2.4441146750296345E+200</v>
      </c>
      <c r="VQH53" s="760">
        <f t="shared" si="275"/>
        <v>2.5174381152805236E+200</v>
      </c>
      <c r="VQI53" s="760">
        <f t="shared" si="275"/>
        <v>2.5929612587389395E+200</v>
      </c>
      <c r="VQJ53" s="760">
        <f t="shared" si="275"/>
        <v>2.6707500965011078E+200</v>
      </c>
      <c r="VQK53" s="760">
        <f t="shared" si="275"/>
        <v>2.750872599396141E+200</v>
      </c>
      <c r="VQL53" s="760">
        <f t="shared" si="275"/>
        <v>2.8333987773780254E+200</v>
      </c>
      <c r="VQM53" s="760">
        <f t="shared" si="275"/>
        <v>2.9184007406993664E+200</v>
      </c>
      <c r="VQN53" s="760">
        <f t="shared" si="275"/>
        <v>3.0059527629203475E+200</v>
      </c>
      <c r="VQO53" s="760">
        <f t="shared" si="275"/>
        <v>3.096131345807958E+200</v>
      </c>
      <c r="VQP53" s="760">
        <f t="shared" si="275"/>
        <v>3.1890152861821969E+200</v>
      </c>
      <c r="VQQ53" s="760">
        <f t="shared" si="275"/>
        <v>3.2846857447676627E+200</v>
      </c>
      <c r="VQR53" s="760">
        <f t="shared" si="275"/>
        <v>3.3832263171106924E+200</v>
      </c>
      <c r="VQS53" s="760">
        <f t="shared" si="275"/>
        <v>3.4847231066240134E+200</v>
      </c>
      <c r="VQT53" s="760">
        <f t="shared" si="275"/>
        <v>3.5892647998227339E+200</v>
      </c>
      <c r="VQU53" s="760">
        <f t="shared" si="275"/>
        <v>3.696942743817416E+200</v>
      </c>
      <c r="VQV53" s="760">
        <f t="shared" si="275"/>
        <v>3.8078510261319387E+200</v>
      </c>
      <c r="VQW53" s="760">
        <f t="shared" si="275"/>
        <v>3.9220865569158969E+200</v>
      </c>
      <c r="VQX53" s="760">
        <f t="shared" si="275"/>
        <v>4.0397491536233739E+200</v>
      </c>
      <c r="VQY53" s="760">
        <f t="shared" si="275"/>
        <v>4.160941628232075E+200</v>
      </c>
      <c r="VQZ53" s="760">
        <f t="shared" si="275"/>
        <v>4.2857698770790373E+200</v>
      </c>
      <c r="VRA53" s="760">
        <f t="shared" si="275"/>
        <v>4.4143429733914086E+200</v>
      </c>
      <c r="VRB53" s="760">
        <f t="shared" si="275"/>
        <v>4.5467732625931506E+200</v>
      </c>
      <c r="VRC53" s="760">
        <f t="shared" si="275"/>
        <v>4.6831764604709454E+200</v>
      </c>
      <c r="VRD53" s="760">
        <f t="shared" si="275"/>
        <v>4.8236717542850739E+200</v>
      </c>
      <c r="VRE53" s="760">
        <f t="shared" si="275"/>
        <v>4.9683819069136262E+200</v>
      </c>
      <c r="VRF53" s="760">
        <f t="shared" si="275"/>
        <v>5.1174333641210351E+200</v>
      </c>
      <c r="VRG53" s="760">
        <f t="shared" si="275"/>
        <v>5.2709563650446661E+200</v>
      </c>
      <c r="VRH53" s="760">
        <f t="shared" si="275"/>
        <v>5.4290850559960064E+200</v>
      </c>
      <c r="VRI53" s="760">
        <f t="shared" si="275"/>
        <v>5.5919576076758868E+200</v>
      </c>
      <c r="VRJ53" s="760">
        <f t="shared" si="275"/>
        <v>5.7597163359061632E+200</v>
      </c>
      <c r="VRK53" s="760">
        <f t="shared" si="275"/>
        <v>5.9325078259833485E+200</v>
      </c>
      <c r="VRL53" s="760">
        <f t="shared" si="275"/>
        <v>6.1104830607628493E+200</v>
      </c>
      <c r="VRM53" s="760">
        <f t="shared" si="275"/>
        <v>6.2937975525857352E+200</v>
      </c>
      <c r="VRN53" s="760">
        <f t="shared" si="275"/>
        <v>6.4826114791633079E+200</v>
      </c>
      <c r="VRO53" s="760">
        <f t="shared" si="275"/>
        <v>6.677089823538208E+200</v>
      </c>
      <c r="VRP53" s="760">
        <f t="shared" si="275"/>
        <v>6.877402518244354E+200</v>
      </c>
      <c r="VRQ53" s="760">
        <f t="shared" si="275"/>
        <v>7.0837245937916843E+200</v>
      </c>
      <c r="VRR53" s="760">
        <f t="shared" si="275"/>
        <v>7.2962363316054345E+200</v>
      </c>
      <c r="VRS53" s="760">
        <f t="shared" si="275"/>
        <v>7.5151234215535978E+200</v>
      </c>
      <c r="VRT53" s="760">
        <f t="shared" si="275"/>
        <v>7.7405771242002057E+200</v>
      </c>
      <c r="VRU53" s="760">
        <f t="shared" si="275"/>
        <v>7.9727944379262126E+200</v>
      </c>
      <c r="VRV53" s="760">
        <f t="shared" si="275"/>
        <v>8.2119782710639991E+200</v>
      </c>
      <c r="VRW53" s="760">
        <f t="shared" si="275"/>
        <v>8.4583376191959196E+200</v>
      </c>
      <c r="VRX53" s="760">
        <f t="shared" si="275"/>
        <v>8.7120877477717969E+200</v>
      </c>
      <c r="VRY53" s="760">
        <f t="shared" si="275"/>
        <v>8.9734503802049508E+200</v>
      </c>
      <c r="VRZ53" s="760">
        <f t="shared" si="275"/>
        <v>9.2426538916110991E+200</v>
      </c>
      <c r="VSA53" s="760">
        <f t="shared" ref="VSA53:VUL53" si="276">+VRZ53*$C$53</f>
        <v>9.5199335083594326E+200</v>
      </c>
      <c r="VSB53" s="760">
        <f t="shared" si="276"/>
        <v>9.8055315136102161E+200</v>
      </c>
      <c r="VSC53" s="760">
        <f t="shared" si="276"/>
        <v>1.0099697459018523E+201</v>
      </c>
      <c r="VSD53" s="760">
        <f t="shared" si="276"/>
        <v>1.0402688382789079E+201</v>
      </c>
      <c r="VSE53" s="760">
        <f t="shared" si="276"/>
        <v>1.0714769034272751E+201</v>
      </c>
      <c r="VSF53" s="760">
        <f t="shared" si="276"/>
        <v>1.1036212105300934E+201</v>
      </c>
      <c r="VSG53" s="760">
        <f t="shared" si="276"/>
        <v>1.1367298468459963E+201</v>
      </c>
      <c r="VSH53" s="760">
        <f t="shared" si="276"/>
        <v>1.1708317422513762E+201</v>
      </c>
      <c r="VSI53" s="760">
        <f t="shared" si="276"/>
        <v>1.2059566945189175E+201</v>
      </c>
      <c r="VSJ53" s="760">
        <f t="shared" si="276"/>
        <v>1.2421353953544852E+201</v>
      </c>
      <c r="VSK53" s="760">
        <f t="shared" si="276"/>
        <v>1.2793994572151199E+201</v>
      </c>
      <c r="VSL53" s="760">
        <f t="shared" si="276"/>
        <v>1.3177814409315736E+201</v>
      </c>
      <c r="VSM53" s="760">
        <f t="shared" si="276"/>
        <v>1.3573148841595207E+201</v>
      </c>
      <c r="VSN53" s="760">
        <f t="shared" si="276"/>
        <v>1.3980343306843063E+201</v>
      </c>
      <c r="VSO53" s="760">
        <f t="shared" si="276"/>
        <v>1.4399753606048355E+201</v>
      </c>
      <c r="VSP53" s="760">
        <f t="shared" si="276"/>
        <v>1.4831746214229807E+201</v>
      </c>
      <c r="VSQ53" s="760">
        <f t="shared" si="276"/>
        <v>1.52766986006567E+201</v>
      </c>
      <c r="VSR53" s="760">
        <f t="shared" si="276"/>
        <v>1.5734999558676402E+201</v>
      </c>
      <c r="VSS53" s="760">
        <f t="shared" si="276"/>
        <v>1.6207049545436694E+201</v>
      </c>
      <c r="VST53" s="760">
        <f t="shared" si="276"/>
        <v>1.6693261031799796E+201</v>
      </c>
      <c r="VSU53" s="760">
        <f t="shared" si="276"/>
        <v>1.719405886275379E+201</v>
      </c>
      <c r="VSV53" s="760">
        <f t="shared" si="276"/>
        <v>1.7709880628636404E+201</v>
      </c>
      <c r="VSW53" s="760">
        <f t="shared" si="276"/>
        <v>1.8241177047495497E+201</v>
      </c>
      <c r="VSX53" s="760">
        <f t="shared" si="276"/>
        <v>1.8788412358920362E+201</v>
      </c>
      <c r="VSY53" s="760">
        <f t="shared" si="276"/>
        <v>1.9352064729687973E+201</v>
      </c>
      <c r="VSZ53" s="760">
        <f t="shared" si="276"/>
        <v>1.9932626671578614E+201</v>
      </c>
      <c r="VTA53" s="760">
        <f t="shared" si="276"/>
        <v>2.0530605471725974E+201</v>
      </c>
      <c r="VTB53" s="760">
        <f t="shared" si="276"/>
        <v>2.1146523635877753E+201</v>
      </c>
      <c r="VTC53" s="760">
        <f t="shared" si="276"/>
        <v>2.1780919344954085E+201</v>
      </c>
      <c r="VTD53" s="760">
        <f t="shared" si="276"/>
        <v>2.243434692530271E+201</v>
      </c>
      <c r="VTE53" s="760">
        <f t="shared" si="276"/>
        <v>2.3107377333061792E+201</v>
      </c>
      <c r="VTF53" s="760">
        <f t="shared" si="276"/>
        <v>2.3800598653053645E+201</v>
      </c>
      <c r="VTG53" s="760">
        <f t="shared" si="276"/>
        <v>2.4514616612645253E+201</v>
      </c>
      <c r="VTH53" s="760">
        <f t="shared" si="276"/>
        <v>2.5250055111024613E+201</v>
      </c>
      <c r="VTI53" s="760">
        <f t="shared" si="276"/>
        <v>2.6007556764355354E+201</v>
      </c>
      <c r="VTJ53" s="760">
        <f t="shared" si="276"/>
        <v>2.6787783467286017E+201</v>
      </c>
      <c r="VTK53" s="760">
        <f t="shared" si="276"/>
        <v>2.75914169713046E+201</v>
      </c>
      <c r="VTL53" s="760">
        <f t="shared" si="276"/>
        <v>2.8419159480443737E+201</v>
      </c>
      <c r="VTM53" s="760">
        <f t="shared" si="276"/>
        <v>2.9271734264857051E+201</v>
      </c>
      <c r="VTN53" s="760">
        <f t="shared" si="276"/>
        <v>3.0149886292802762E+201</v>
      </c>
      <c r="VTO53" s="760">
        <f t="shared" si="276"/>
        <v>3.1054382881586847E+201</v>
      </c>
      <c r="VTP53" s="760">
        <f t="shared" si="276"/>
        <v>3.1986014368034451E+201</v>
      </c>
      <c r="VTQ53" s="760">
        <f t="shared" si="276"/>
        <v>3.2945594799075488E+201</v>
      </c>
      <c r="VTR53" s="760">
        <f t="shared" si="276"/>
        <v>3.3933962643047753E+201</v>
      </c>
      <c r="VTS53" s="760">
        <f t="shared" si="276"/>
        <v>3.4951981522339184E+201</v>
      </c>
      <c r="VTT53" s="760">
        <f t="shared" si="276"/>
        <v>3.600054096800936E+201</v>
      </c>
      <c r="VTU53" s="760">
        <f t="shared" si="276"/>
        <v>3.708055719704964E+201</v>
      </c>
      <c r="VTV53" s="760">
        <f t="shared" si="276"/>
        <v>3.8192973912961129E+201</v>
      </c>
      <c r="VTW53" s="760">
        <f t="shared" si="276"/>
        <v>3.9338763130349966E+201</v>
      </c>
      <c r="VTX53" s="760">
        <f t="shared" si="276"/>
        <v>4.0518926024260463E+201</v>
      </c>
      <c r="VTY53" s="760">
        <f t="shared" si="276"/>
        <v>4.1734493804988279E+201</v>
      </c>
      <c r="VTZ53" s="760">
        <f t="shared" si="276"/>
        <v>4.2986528619137929E+201</v>
      </c>
      <c r="VUA53" s="760">
        <f t="shared" si="276"/>
        <v>4.4276124477712068E+201</v>
      </c>
      <c r="VUB53" s="760">
        <f t="shared" si="276"/>
        <v>4.5604408212043432E+201</v>
      </c>
      <c r="VUC53" s="760">
        <f t="shared" si="276"/>
        <v>4.6972540458404736E+201</v>
      </c>
      <c r="VUD53" s="760">
        <f t="shared" si="276"/>
        <v>4.8381716672156881E+201</v>
      </c>
      <c r="VUE53" s="760">
        <f t="shared" si="276"/>
        <v>4.983316817232159E+201</v>
      </c>
      <c r="VUF53" s="760">
        <f t="shared" si="276"/>
        <v>5.1328163217491244E+201</v>
      </c>
      <c r="VUG53" s="760">
        <f t="shared" si="276"/>
        <v>5.2868008114015979E+201</v>
      </c>
      <c r="VUH53" s="760">
        <f t="shared" si="276"/>
        <v>5.4454048357436463E+201</v>
      </c>
      <c r="VUI53" s="760">
        <f t="shared" si="276"/>
        <v>5.6087669808159557E+201</v>
      </c>
      <c r="VUJ53" s="760">
        <f t="shared" si="276"/>
        <v>5.7770299902404346E+201</v>
      </c>
      <c r="VUK53" s="760">
        <f t="shared" si="276"/>
        <v>5.9503408899476483E+201</v>
      </c>
      <c r="VUL53" s="760">
        <f t="shared" si="276"/>
        <v>6.1288511166460774E+201</v>
      </c>
      <c r="VUM53" s="760">
        <f t="shared" ref="VUM53:VWX53" si="277">+VUL53*$C$53</f>
        <v>6.3127166501454599E+201</v>
      </c>
      <c r="VUN53" s="760">
        <f t="shared" si="277"/>
        <v>6.5020981496498239E+201</v>
      </c>
      <c r="VUO53" s="760">
        <f t="shared" si="277"/>
        <v>6.6971610941393192E+201</v>
      </c>
      <c r="VUP53" s="760">
        <f t="shared" si="277"/>
        <v>6.8980759269634994E+201</v>
      </c>
      <c r="VUQ53" s="760">
        <f t="shared" si="277"/>
        <v>7.1050182047724046E+201</v>
      </c>
      <c r="VUR53" s="760">
        <f t="shared" si="277"/>
        <v>7.3181687509155774E+201</v>
      </c>
      <c r="VUS53" s="760">
        <f t="shared" si="277"/>
        <v>7.5377138134430454E+201</v>
      </c>
      <c r="VUT53" s="760">
        <f t="shared" si="277"/>
        <v>7.7638452278463373E+201</v>
      </c>
      <c r="VUU53" s="760">
        <f t="shared" si="277"/>
        <v>7.9967605846817281E+201</v>
      </c>
      <c r="VUV53" s="760">
        <f t="shared" si="277"/>
        <v>8.2366634022221805E+201</v>
      </c>
      <c r="VUW53" s="760">
        <f t="shared" si="277"/>
        <v>8.4837633042888466E+201</v>
      </c>
      <c r="VUX53" s="760">
        <f t="shared" si="277"/>
        <v>8.7382762034175123E+201</v>
      </c>
      <c r="VUY53" s="760">
        <f t="shared" si="277"/>
        <v>9.0004244895200376E+201</v>
      </c>
      <c r="VUZ53" s="760">
        <f t="shared" si="277"/>
        <v>9.2704372242056395E+201</v>
      </c>
      <c r="VVA53" s="760">
        <f t="shared" si="277"/>
        <v>9.5485503409318088E+201</v>
      </c>
      <c r="VVB53" s="760">
        <f t="shared" si="277"/>
        <v>9.8350068511597627E+201</v>
      </c>
      <c r="VVC53" s="760">
        <f t="shared" si="277"/>
        <v>1.0130057056694555E+202</v>
      </c>
      <c r="VVD53" s="760">
        <f t="shared" si="277"/>
        <v>1.0433958768395392E+202</v>
      </c>
      <c r="VVE53" s="760">
        <f t="shared" si="277"/>
        <v>1.0746977531447254E+202</v>
      </c>
      <c r="VVF53" s="760">
        <f t="shared" si="277"/>
        <v>1.1069386857390672E+202</v>
      </c>
      <c r="VVG53" s="760">
        <f t="shared" si="277"/>
        <v>1.1401468463112392E+202</v>
      </c>
      <c r="VVH53" s="760">
        <f t="shared" si="277"/>
        <v>1.1743512517005764E+202</v>
      </c>
      <c r="VVI53" s="760">
        <f t="shared" si="277"/>
        <v>1.2095817892515938E+202</v>
      </c>
      <c r="VVJ53" s="760">
        <f t="shared" si="277"/>
        <v>1.2458692429291417E+202</v>
      </c>
      <c r="VVK53" s="760">
        <f t="shared" si="277"/>
        <v>1.2832453202170159E+202</v>
      </c>
      <c r="VVL53" s="760">
        <f t="shared" si="277"/>
        <v>1.3217426798235264E+202</v>
      </c>
      <c r="VVM53" s="760">
        <f t="shared" si="277"/>
        <v>1.3613949602182322E+202</v>
      </c>
      <c r="VVN53" s="760">
        <f t="shared" si="277"/>
        <v>1.4022368090247791E+202</v>
      </c>
      <c r="VVO53" s="760">
        <f t="shared" si="277"/>
        <v>1.4443039132955225E+202</v>
      </c>
      <c r="VVP53" s="760">
        <f t="shared" si="277"/>
        <v>1.4876330306943881E+202</v>
      </c>
      <c r="VVQ53" s="760">
        <f t="shared" si="277"/>
        <v>1.5322620216152197E+202</v>
      </c>
      <c r="VVR53" s="760">
        <f t="shared" si="277"/>
        <v>1.5782298822636763E+202</v>
      </c>
      <c r="VVS53" s="760">
        <f t="shared" si="277"/>
        <v>1.6255767787315866E+202</v>
      </c>
      <c r="VVT53" s="760">
        <f t="shared" si="277"/>
        <v>1.6743440820935342E+202</v>
      </c>
      <c r="VVU53" s="760">
        <f t="shared" si="277"/>
        <v>1.7245744045563403E+202</v>
      </c>
      <c r="VVV53" s="760">
        <f t="shared" si="277"/>
        <v>1.7763116366930304E+202</v>
      </c>
      <c r="VVW53" s="760">
        <f t="shared" si="277"/>
        <v>1.8296009857938213E+202</v>
      </c>
      <c r="VVX53" s="760">
        <f t="shared" si="277"/>
        <v>1.8844890153676361E+202</v>
      </c>
      <c r="VVY53" s="760">
        <f t="shared" si="277"/>
        <v>1.9410236858286653E+202</v>
      </c>
      <c r="VVZ53" s="760">
        <f t="shared" si="277"/>
        <v>1.9992543964035254E+202</v>
      </c>
      <c r="VWA53" s="760">
        <f t="shared" si="277"/>
        <v>2.0592320282956312E+202</v>
      </c>
      <c r="VWB53" s="760">
        <f t="shared" si="277"/>
        <v>2.1210089891445001E+202</v>
      </c>
      <c r="VWC53" s="760">
        <f t="shared" si="277"/>
        <v>2.184639258818835E+202</v>
      </c>
      <c r="VWD53" s="760">
        <f t="shared" si="277"/>
        <v>2.2501784365834001E+202</v>
      </c>
      <c r="VWE53" s="760">
        <f t="shared" si="277"/>
        <v>2.3176837896809023E+202</v>
      </c>
      <c r="VWF53" s="760">
        <f t="shared" si="277"/>
        <v>2.3872143033713296E+202</v>
      </c>
      <c r="VWG53" s="760">
        <f t="shared" si="277"/>
        <v>2.4588307324724694E+202</v>
      </c>
      <c r="VWH53" s="760">
        <f t="shared" si="277"/>
        <v>2.5325956544466433E+202</v>
      </c>
      <c r="VWI53" s="760">
        <f t="shared" si="277"/>
        <v>2.6085735240800427E+202</v>
      </c>
      <c r="VWJ53" s="760">
        <f t="shared" si="277"/>
        <v>2.686830729802444E+202</v>
      </c>
      <c r="VWK53" s="760">
        <f t="shared" si="277"/>
        <v>2.7674356516965173E+202</v>
      </c>
      <c r="VWL53" s="760">
        <f t="shared" si="277"/>
        <v>2.8504587212474131E+202</v>
      </c>
      <c r="VWM53" s="760">
        <f t="shared" si="277"/>
        <v>2.9359724828848355E+202</v>
      </c>
      <c r="VWN53" s="760">
        <f t="shared" si="277"/>
        <v>3.0240516573713807E+202</v>
      </c>
      <c r="VWO53" s="760">
        <f t="shared" si="277"/>
        <v>3.1147732070925224E+202</v>
      </c>
      <c r="VWP53" s="760">
        <f t="shared" si="277"/>
        <v>3.2082164033052982E+202</v>
      </c>
      <c r="VWQ53" s="760">
        <f t="shared" si="277"/>
        <v>3.304462895404457E+202</v>
      </c>
      <c r="VWR53" s="760">
        <f t="shared" si="277"/>
        <v>3.4035967822665909E+202</v>
      </c>
      <c r="VWS53" s="760">
        <f t="shared" si="277"/>
        <v>3.5057046857345889E+202</v>
      </c>
      <c r="VWT53" s="760">
        <f t="shared" si="277"/>
        <v>3.6108758263066267E+202</v>
      </c>
      <c r="VWU53" s="760">
        <f t="shared" si="277"/>
        <v>3.7192021010958257E+202</v>
      </c>
      <c r="VWV53" s="760">
        <f t="shared" si="277"/>
        <v>3.8307781641287005E+202</v>
      </c>
      <c r="VWW53" s="760">
        <f t="shared" si="277"/>
        <v>3.9457015090525619E+202</v>
      </c>
      <c r="VWX53" s="760">
        <f t="shared" si="277"/>
        <v>4.0640725543241386E+202</v>
      </c>
      <c r="VWY53" s="760">
        <f t="shared" ref="VWY53:VZJ53" si="278">+VWX53*$C$53</f>
        <v>4.185994730953863E+202</v>
      </c>
      <c r="VWZ53" s="760">
        <f t="shared" si="278"/>
        <v>4.3115745728824789E+202</v>
      </c>
      <c r="VXA53" s="760">
        <f t="shared" si="278"/>
        <v>4.4409218100689537E+202</v>
      </c>
      <c r="VXB53" s="760">
        <f t="shared" si="278"/>
        <v>4.5741494643710221E+202</v>
      </c>
      <c r="VXC53" s="760">
        <f t="shared" si="278"/>
        <v>4.711373948302153E+202</v>
      </c>
      <c r="VXD53" s="760">
        <f t="shared" si="278"/>
        <v>4.8527151667512176E+202</v>
      </c>
      <c r="VXE53" s="760">
        <f t="shared" si="278"/>
        <v>4.9982966217537543E+202</v>
      </c>
      <c r="VXF53" s="760">
        <f t="shared" si="278"/>
        <v>5.1482455204063667E+202</v>
      </c>
      <c r="VXG53" s="760">
        <f t="shared" si="278"/>
        <v>5.3026928860185577E+202</v>
      </c>
      <c r="VXH53" s="760">
        <f t="shared" si="278"/>
        <v>5.4617736725991148E+202</v>
      </c>
      <c r="VXI53" s="760">
        <f t="shared" si="278"/>
        <v>5.6256268827770881E+202</v>
      </c>
      <c r="VXJ53" s="760">
        <f t="shared" si="278"/>
        <v>5.7943956892604008E+202</v>
      </c>
      <c r="VXK53" s="760">
        <f t="shared" si="278"/>
        <v>5.9682275599382133E+202</v>
      </c>
      <c r="VXL53" s="760">
        <f t="shared" si="278"/>
        <v>6.1472743867363595E+202</v>
      </c>
      <c r="VXM53" s="760">
        <f t="shared" si="278"/>
        <v>6.33169261833845E+202</v>
      </c>
      <c r="VXN53" s="760">
        <f t="shared" si="278"/>
        <v>6.5216433968886033E+202</v>
      </c>
      <c r="VXO53" s="760">
        <f t="shared" si="278"/>
        <v>6.7172926987952613E+202</v>
      </c>
      <c r="VXP53" s="760">
        <f t="shared" si="278"/>
        <v>6.9188114797591195E+202</v>
      </c>
      <c r="VXQ53" s="760">
        <f t="shared" si="278"/>
        <v>7.1263758241518929E+202</v>
      </c>
      <c r="VXR53" s="760">
        <f t="shared" si="278"/>
        <v>7.3401670988764498E+202</v>
      </c>
      <c r="VXS53" s="760">
        <f t="shared" si="278"/>
        <v>7.560372111842743E+202</v>
      </c>
      <c r="VXT53" s="760">
        <f t="shared" si="278"/>
        <v>7.7871832751980256E+202</v>
      </c>
      <c r="VXU53" s="760">
        <f t="shared" si="278"/>
        <v>8.0207987734539663E+202</v>
      </c>
      <c r="VXV53" s="760">
        <f t="shared" si="278"/>
        <v>8.261422736657585E+202</v>
      </c>
      <c r="VXW53" s="760">
        <f t="shared" si="278"/>
        <v>8.5092654187573121E+202</v>
      </c>
      <c r="VXX53" s="760">
        <f t="shared" si="278"/>
        <v>8.764543381320031E+202</v>
      </c>
      <c r="VXY53" s="760">
        <f t="shared" si="278"/>
        <v>9.0274796827596327E+202</v>
      </c>
      <c r="VXZ53" s="760">
        <f t="shared" si="278"/>
        <v>9.2983040732424218E+202</v>
      </c>
      <c r="VYA53" s="760">
        <f t="shared" si="278"/>
        <v>9.5772531954396939E+202</v>
      </c>
      <c r="VYB53" s="760">
        <f t="shared" si="278"/>
        <v>9.8645707913028842E+202</v>
      </c>
      <c r="VYC53" s="760">
        <f t="shared" si="278"/>
        <v>1.0160507915041971E+203</v>
      </c>
      <c r="VYD53" s="760">
        <f t="shared" si="278"/>
        <v>1.046532315249323E+203</v>
      </c>
      <c r="VYE53" s="760">
        <f t="shared" si="278"/>
        <v>1.0779282847068028E+203</v>
      </c>
      <c r="VYF53" s="760">
        <f t="shared" si="278"/>
        <v>1.1102661332480069E+203</v>
      </c>
      <c r="VYG53" s="760">
        <f t="shared" si="278"/>
        <v>1.1435741172454471E+203</v>
      </c>
      <c r="VYH53" s="760">
        <f t="shared" si="278"/>
        <v>1.1778813407628106E+203</v>
      </c>
      <c r="VYI53" s="760">
        <f t="shared" si="278"/>
        <v>1.2132177809856949E+203</v>
      </c>
      <c r="VYJ53" s="760">
        <f t="shared" si="278"/>
        <v>1.2496143144152659E+203</v>
      </c>
      <c r="VYK53" s="760">
        <f t="shared" si="278"/>
        <v>1.2871027438477238E+203</v>
      </c>
      <c r="VYL53" s="760">
        <f t="shared" si="278"/>
        <v>1.3257158261631556E+203</v>
      </c>
      <c r="VYM53" s="760">
        <f t="shared" si="278"/>
        <v>1.3654873009480503E+203</v>
      </c>
      <c r="VYN53" s="760">
        <f t="shared" si="278"/>
        <v>1.4064519199764919E+203</v>
      </c>
      <c r="VYO53" s="760">
        <f t="shared" si="278"/>
        <v>1.4486454775757867E+203</v>
      </c>
      <c r="VYP53" s="760">
        <f t="shared" si="278"/>
        <v>1.4921048419030604E+203</v>
      </c>
      <c r="VYQ53" s="760">
        <f t="shared" si="278"/>
        <v>1.5368679871601523E+203</v>
      </c>
      <c r="VYR53" s="760">
        <f t="shared" si="278"/>
        <v>1.5829740267749569E+203</v>
      </c>
      <c r="VYS53" s="760">
        <f t="shared" si="278"/>
        <v>1.6304632475782058E+203</v>
      </c>
      <c r="VYT53" s="760">
        <f t="shared" si="278"/>
        <v>1.679377145005552E+203</v>
      </c>
      <c r="VYU53" s="760">
        <f t="shared" si="278"/>
        <v>1.7297584593557185E+203</v>
      </c>
      <c r="VYV53" s="760">
        <f t="shared" si="278"/>
        <v>1.78165121313639E+203</v>
      </c>
      <c r="VYW53" s="760">
        <f t="shared" si="278"/>
        <v>1.8351007495304819E+203</v>
      </c>
      <c r="VYX53" s="760">
        <f t="shared" si="278"/>
        <v>1.8901537720163964E+203</v>
      </c>
      <c r="VYY53" s="760">
        <f t="shared" si="278"/>
        <v>1.9468583851768883E+203</v>
      </c>
      <c r="VYZ53" s="760">
        <f t="shared" si="278"/>
        <v>2.0052641367321948E+203</v>
      </c>
      <c r="VZA53" s="760">
        <f t="shared" si="278"/>
        <v>2.0654220608341608E+203</v>
      </c>
      <c r="VZB53" s="760">
        <f t="shared" si="278"/>
        <v>2.1273847226591855E+203</v>
      </c>
      <c r="VZC53" s="760">
        <f t="shared" si="278"/>
        <v>2.1912062643389613E+203</v>
      </c>
      <c r="VZD53" s="760">
        <f t="shared" si="278"/>
        <v>2.2569424522691302E+203</v>
      </c>
      <c r="VZE53" s="760">
        <f t="shared" si="278"/>
        <v>2.3246507258372043E+203</v>
      </c>
      <c r="VZF53" s="760">
        <f t="shared" si="278"/>
        <v>2.3943902476123205E+203</v>
      </c>
      <c r="VZG53" s="760">
        <f t="shared" si="278"/>
        <v>2.4662219550406902E+203</v>
      </c>
      <c r="VZH53" s="760">
        <f t="shared" si="278"/>
        <v>2.5402086136919108E+203</v>
      </c>
      <c r="VZI53" s="760">
        <f t="shared" si="278"/>
        <v>2.616414872102668E+203</v>
      </c>
      <c r="VZJ53" s="760">
        <f t="shared" si="278"/>
        <v>2.6949073182657481E+203</v>
      </c>
      <c r="VZK53" s="760">
        <f t="shared" ref="VZK53:WBV53" si="279">+VZJ53*$C$53</f>
        <v>2.7757545378137207E+203</v>
      </c>
      <c r="VZL53" s="760">
        <f t="shared" si="279"/>
        <v>2.8590271739481324E+203</v>
      </c>
      <c r="VZM53" s="760">
        <f t="shared" si="279"/>
        <v>2.9447979891665766E+203</v>
      </c>
      <c r="VZN53" s="760">
        <f t="shared" si="279"/>
        <v>3.0331419288415738E+203</v>
      </c>
      <c r="VZO53" s="760">
        <f t="shared" si="279"/>
        <v>3.124136186706821E+203</v>
      </c>
      <c r="VZP53" s="760">
        <f t="shared" si="279"/>
        <v>3.2178602723080257E+203</v>
      </c>
      <c r="VZQ53" s="760">
        <f t="shared" si="279"/>
        <v>3.3143960804772665E+203</v>
      </c>
      <c r="VZR53" s="760">
        <f t="shared" si="279"/>
        <v>3.4138279628915848E+203</v>
      </c>
      <c r="VZS53" s="760">
        <f t="shared" si="279"/>
        <v>3.5162428017783322E+203</v>
      </c>
      <c r="VZT53" s="760">
        <f t="shared" si="279"/>
        <v>3.6217300858316823E+203</v>
      </c>
      <c r="VZU53" s="760">
        <f t="shared" si="279"/>
        <v>3.7303819884066331E+203</v>
      </c>
      <c r="VZV53" s="760">
        <f t="shared" si="279"/>
        <v>3.842293448058832E+203</v>
      </c>
      <c r="VZW53" s="760">
        <f t="shared" si="279"/>
        <v>3.9575622515005968E+203</v>
      </c>
      <c r="VZX53" s="760">
        <f t="shared" si="279"/>
        <v>4.0762891190456152E+203</v>
      </c>
      <c r="VZY53" s="760">
        <f t="shared" si="279"/>
        <v>4.198577792616984E+203</v>
      </c>
      <c r="VZZ53" s="760">
        <f t="shared" si="279"/>
        <v>4.3245351263954935E+203</v>
      </c>
      <c r="WAA53" s="760">
        <f t="shared" si="279"/>
        <v>4.4542711801873582E+203</v>
      </c>
      <c r="WAB53" s="760">
        <f t="shared" si="279"/>
        <v>4.5878993155929794E+203</v>
      </c>
      <c r="WAC53" s="760">
        <f t="shared" si="279"/>
        <v>4.7255362950607689E+203</v>
      </c>
      <c r="WAD53" s="760">
        <f t="shared" si="279"/>
        <v>4.8673023839125923E+203</v>
      </c>
      <c r="WAE53" s="760">
        <f t="shared" si="279"/>
        <v>5.01332145542997E+203</v>
      </c>
      <c r="WAF53" s="760">
        <f t="shared" si="279"/>
        <v>5.1637210990928695E+203</v>
      </c>
      <c r="WAG53" s="760">
        <f t="shared" si="279"/>
        <v>5.3186327320656557E+203</v>
      </c>
      <c r="WAH53" s="760">
        <f t="shared" si="279"/>
        <v>5.4781917140276257E+203</v>
      </c>
      <c r="WAI53" s="760">
        <f t="shared" si="279"/>
        <v>5.6425374654484548E+203</v>
      </c>
      <c r="WAJ53" s="760">
        <f t="shared" si="279"/>
        <v>5.8118135894119084E+203</v>
      </c>
      <c r="WAK53" s="760">
        <f t="shared" si="279"/>
        <v>5.9861679970942655E+203</v>
      </c>
      <c r="WAL53" s="760">
        <f t="shared" si="279"/>
        <v>6.1657530370070938E+203</v>
      </c>
      <c r="WAM53" s="760">
        <f t="shared" si="279"/>
        <v>6.3507256281173067E+203</v>
      </c>
      <c r="WAN53" s="760">
        <f t="shared" si="279"/>
        <v>6.5412473969608265E+203</v>
      </c>
      <c r="WAO53" s="760">
        <f t="shared" si="279"/>
        <v>6.7374848188696518E+203</v>
      </c>
      <c r="WAP53" s="760">
        <f t="shared" si="279"/>
        <v>6.9396093634357417E+203</v>
      </c>
      <c r="WAQ53" s="760">
        <f t="shared" si="279"/>
        <v>7.147797644338814E+203</v>
      </c>
      <c r="WAR53" s="760">
        <f t="shared" si="279"/>
        <v>7.362231573668978E+203</v>
      </c>
      <c r="WAS53" s="760">
        <f t="shared" si="279"/>
        <v>7.5830985208790478E+203</v>
      </c>
      <c r="WAT53" s="760">
        <f t="shared" si="279"/>
        <v>7.81059147650542E+203</v>
      </c>
      <c r="WAU53" s="760">
        <f t="shared" si="279"/>
        <v>8.0449092208005829E+203</v>
      </c>
      <c r="WAV53" s="760">
        <f t="shared" si="279"/>
        <v>8.2862564974246013E+203</v>
      </c>
      <c r="WAW53" s="760">
        <f t="shared" si="279"/>
        <v>8.5348441923473391E+203</v>
      </c>
      <c r="WAX53" s="760">
        <f t="shared" si="279"/>
        <v>8.7908895181177592E+203</v>
      </c>
      <c r="WAY53" s="760">
        <f t="shared" si="279"/>
        <v>9.0546162036612923E+203</v>
      </c>
      <c r="WAZ53" s="760">
        <f t="shared" si="279"/>
        <v>9.3262546897711308E+203</v>
      </c>
      <c r="WBA53" s="760">
        <f t="shared" si="279"/>
        <v>9.606042330464265E+203</v>
      </c>
      <c r="WBB53" s="760">
        <f t="shared" si="279"/>
        <v>9.8942236003781926E+203</v>
      </c>
      <c r="WBC53" s="760">
        <f t="shared" si="279"/>
        <v>1.0191050308389539E+204</v>
      </c>
      <c r="WBD53" s="760">
        <f t="shared" si="279"/>
        <v>1.0496781817641225E+204</v>
      </c>
      <c r="WBE53" s="760">
        <f t="shared" si="279"/>
        <v>1.0811685272170462E+204</v>
      </c>
      <c r="WBF53" s="760">
        <f t="shared" si="279"/>
        <v>1.1136035830335576E+204</v>
      </c>
      <c r="WBG53" s="760">
        <f t="shared" si="279"/>
        <v>1.1470116905245644E+204</v>
      </c>
      <c r="WBH53" s="760">
        <f t="shared" si="279"/>
        <v>1.1814220412403014E+204</v>
      </c>
      <c r="WBI53" s="760">
        <f t="shared" si="279"/>
        <v>1.2168647024775104E+204</v>
      </c>
      <c r="WBJ53" s="760">
        <f t="shared" si="279"/>
        <v>1.2533706435518357E+204</v>
      </c>
      <c r="WBK53" s="760">
        <f t="shared" si="279"/>
        <v>1.2909717628583908E+204</v>
      </c>
      <c r="WBL53" s="760">
        <f t="shared" si="279"/>
        <v>1.3297009157441425E+204</v>
      </c>
      <c r="WBM53" s="760">
        <f t="shared" si="279"/>
        <v>1.3695919432164667E+204</v>
      </c>
      <c r="WBN53" s="760">
        <f t="shared" si="279"/>
        <v>1.4106797015129608E+204</v>
      </c>
      <c r="WBO53" s="760">
        <f t="shared" si="279"/>
        <v>1.4530000925583498E+204</v>
      </c>
      <c r="WBP53" s="760">
        <f t="shared" si="279"/>
        <v>1.4965900953351003E+204</v>
      </c>
      <c r="WBQ53" s="760">
        <f t="shared" si="279"/>
        <v>1.5414877981951533E+204</v>
      </c>
      <c r="WBR53" s="760">
        <f t="shared" si="279"/>
        <v>1.5877324321410078E+204</v>
      </c>
      <c r="WBS53" s="760">
        <f t="shared" si="279"/>
        <v>1.6353644051052382E+204</v>
      </c>
      <c r="WBT53" s="760">
        <f t="shared" si="279"/>
        <v>1.6844253372583953E+204</v>
      </c>
      <c r="WBU53" s="760">
        <f t="shared" si="279"/>
        <v>1.7349580973761472E+204</v>
      </c>
      <c r="WBV53" s="760">
        <f t="shared" si="279"/>
        <v>1.7870068402974317E+204</v>
      </c>
      <c r="WBW53" s="760">
        <f t="shared" ref="WBW53:WEH53" si="280">+WBV53*$C$53</f>
        <v>1.8406170455063548E+204</v>
      </c>
      <c r="WBX53" s="760">
        <f t="shared" si="280"/>
        <v>1.8958355568715455E+204</v>
      </c>
      <c r="WBY53" s="760">
        <f t="shared" si="280"/>
        <v>1.9527106235776918E+204</v>
      </c>
      <c r="WBZ53" s="760">
        <f t="shared" si="280"/>
        <v>2.0112919422850225E+204</v>
      </c>
      <c r="WCA53" s="760">
        <f t="shared" si="280"/>
        <v>2.0716307005535732E+204</v>
      </c>
      <c r="WCB53" s="760">
        <f t="shared" si="280"/>
        <v>2.1337796215701806E+204</v>
      </c>
      <c r="WCC53" s="760">
        <f t="shared" si="280"/>
        <v>2.1977930102172862E+204</v>
      </c>
      <c r="WCD53" s="760">
        <f t="shared" si="280"/>
        <v>2.2637268005238048E+204</v>
      </c>
      <c r="WCE53" s="760">
        <f t="shared" si="280"/>
        <v>2.3316386045395189E+204</v>
      </c>
      <c r="WCF53" s="760">
        <f t="shared" si="280"/>
        <v>2.4015877626757044E+204</v>
      </c>
      <c r="WCG53" s="760">
        <f t="shared" si="280"/>
        <v>2.4736353955559758E+204</v>
      </c>
      <c r="WCH53" s="760">
        <f t="shared" si="280"/>
        <v>2.5478444574226552E+204</v>
      </c>
      <c r="WCI53" s="760">
        <f t="shared" si="280"/>
        <v>2.624279791145335E+204</v>
      </c>
      <c r="WCJ53" s="760">
        <f t="shared" si="280"/>
        <v>2.7030081848796949E+204</v>
      </c>
      <c r="WCK53" s="760">
        <f t="shared" si="280"/>
        <v>2.7840984304260858E+204</v>
      </c>
      <c r="WCL53" s="760">
        <f t="shared" si="280"/>
        <v>2.8676213833388684E+204</v>
      </c>
      <c r="WCM53" s="760">
        <f t="shared" si="280"/>
        <v>2.9536500248390344E+204</v>
      </c>
      <c r="WCN53" s="760">
        <f t="shared" si="280"/>
        <v>3.0422595255842056E+204</v>
      </c>
      <c r="WCO53" s="760">
        <f t="shared" si="280"/>
        <v>3.1335273113517316E+204</v>
      </c>
      <c r="WCP53" s="760">
        <f t="shared" si="280"/>
        <v>3.2275331306922834E+204</v>
      </c>
      <c r="WCQ53" s="760">
        <f t="shared" si="280"/>
        <v>3.3243591246130518E+204</v>
      </c>
      <c r="WCR53" s="760">
        <f t="shared" si="280"/>
        <v>3.4240898983514435E+204</v>
      </c>
      <c r="WCS53" s="760">
        <f t="shared" si="280"/>
        <v>3.5268125953019867E+204</v>
      </c>
      <c r="WCT53" s="760">
        <f t="shared" si="280"/>
        <v>3.6326169731610465E+204</v>
      </c>
      <c r="WCU53" s="760">
        <f t="shared" si="280"/>
        <v>3.7415954823558779E+204</v>
      </c>
      <c r="WCV53" s="760">
        <f t="shared" si="280"/>
        <v>3.8538433468265543E+204</v>
      </c>
      <c r="WCW53" s="760">
        <f t="shared" si="280"/>
        <v>3.9694586472313509E+204</v>
      </c>
      <c r="WCX53" s="760">
        <f t="shared" si="280"/>
        <v>4.0885424066482917E+204</v>
      </c>
      <c r="WCY53" s="760">
        <f t="shared" si="280"/>
        <v>4.2111986788477408E+204</v>
      </c>
      <c r="WCZ53" s="760">
        <f t="shared" si="280"/>
        <v>4.3375346392131731E+204</v>
      </c>
      <c r="WDA53" s="760">
        <f t="shared" si="280"/>
        <v>4.4676606783895686E+204</v>
      </c>
      <c r="WDB53" s="760">
        <f t="shared" si="280"/>
        <v>4.6016904987412556E+204</v>
      </c>
      <c r="WDC53" s="760">
        <f t="shared" si="280"/>
        <v>4.7397412137034934E+204</v>
      </c>
      <c r="WDD53" s="760">
        <f t="shared" si="280"/>
        <v>4.8819334501145984E+204</v>
      </c>
      <c r="WDE53" s="760">
        <f t="shared" si="280"/>
        <v>5.028391453618036E+204</v>
      </c>
      <c r="WDF53" s="760">
        <f t="shared" si="280"/>
        <v>5.1792431972265775E+204</v>
      </c>
      <c r="WDG53" s="760">
        <f t="shared" si="280"/>
        <v>5.334620493143375E+204</v>
      </c>
      <c r="WDH53" s="760">
        <f t="shared" si="280"/>
        <v>5.494659107937676E+204</v>
      </c>
      <c r="WDI53" s="760">
        <f t="shared" si="280"/>
        <v>5.6594988811758068E+204</v>
      </c>
      <c r="WDJ53" s="760">
        <f t="shared" si="280"/>
        <v>5.8292838476110807E+204</v>
      </c>
      <c r="WDK53" s="760">
        <f t="shared" si="280"/>
        <v>6.0041623630394138E+204</v>
      </c>
      <c r="WDL53" s="760">
        <f t="shared" si="280"/>
        <v>6.1842872339305961E+204</v>
      </c>
      <c r="WDM53" s="760">
        <f t="shared" si="280"/>
        <v>6.3698158509485139E+204</v>
      </c>
      <c r="WDN53" s="760">
        <f t="shared" si="280"/>
        <v>6.5609103264769695E+204</v>
      </c>
      <c r="WDO53" s="760">
        <f t="shared" si="280"/>
        <v>6.7577376362712793E+204</v>
      </c>
      <c r="WDP53" s="760">
        <f t="shared" si="280"/>
        <v>6.9604697653594179E+204</v>
      </c>
      <c r="WDQ53" s="760">
        <f t="shared" si="280"/>
        <v>7.1692838583202002E+204</v>
      </c>
      <c r="WDR53" s="760">
        <f t="shared" si="280"/>
        <v>7.3843623740698062E+204</v>
      </c>
      <c r="WDS53" s="760">
        <f t="shared" si="280"/>
        <v>7.6058932452919001E+204</v>
      </c>
      <c r="WDT53" s="760">
        <f t="shared" si="280"/>
        <v>7.8340700426506572E+204</v>
      </c>
      <c r="WDU53" s="760">
        <f t="shared" si="280"/>
        <v>8.0690921439301772E+204</v>
      </c>
      <c r="WDV53" s="760">
        <f t="shared" si="280"/>
        <v>8.3111649082480825E+204</v>
      </c>
      <c r="WDW53" s="760">
        <f t="shared" si="280"/>
        <v>8.5604998554955254E+204</v>
      </c>
      <c r="WDX53" s="760">
        <f t="shared" si="280"/>
        <v>8.8173148511603915E+204</v>
      </c>
      <c r="WDY53" s="760">
        <f t="shared" si="280"/>
        <v>9.0818342966952034E+204</v>
      </c>
      <c r="WDZ53" s="760">
        <f t="shared" si="280"/>
        <v>9.3542893255960593E+204</v>
      </c>
      <c r="WEA53" s="760">
        <f t="shared" si="280"/>
        <v>9.6349180053639414E+204</v>
      </c>
      <c r="WEB53" s="760">
        <f t="shared" si="280"/>
        <v>9.9239655455248599E+204</v>
      </c>
      <c r="WEC53" s="760">
        <f t="shared" si="280"/>
        <v>1.0221684511890606E+205</v>
      </c>
      <c r="WED53" s="760">
        <f t="shared" si="280"/>
        <v>1.0528335047247324E+205</v>
      </c>
      <c r="WEE53" s="760">
        <f t="shared" si="280"/>
        <v>1.0844185098664743E+205</v>
      </c>
      <c r="WEF53" s="760">
        <f t="shared" si="280"/>
        <v>1.1169510651624686E+205</v>
      </c>
      <c r="WEG53" s="760">
        <f t="shared" si="280"/>
        <v>1.1504595971173426E+205</v>
      </c>
      <c r="WEH53" s="760">
        <f t="shared" si="280"/>
        <v>1.1849733850308629E+205</v>
      </c>
      <c r="WEI53" s="760">
        <f t="shared" ref="WEI53:WGT53" si="281">+WEH53*$C$53</f>
        <v>1.2205225865817888E+205</v>
      </c>
      <c r="WEJ53" s="760">
        <f t="shared" si="281"/>
        <v>1.2571382641792425E+205</v>
      </c>
      <c r="WEK53" s="760">
        <f t="shared" si="281"/>
        <v>1.2948524121046199E+205</v>
      </c>
      <c r="WEL53" s="760">
        <f t="shared" si="281"/>
        <v>1.3336979844677586E+205</v>
      </c>
      <c r="WEM53" s="760">
        <f t="shared" si="281"/>
        <v>1.3737089240017915E+205</v>
      </c>
      <c r="WEN53" s="760">
        <f t="shared" si="281"/>
        <v>1.4149201917218453E+205</v>
      </c>
      <c r="WEO53" s="760">
        <f t="shared" si="281"/>
        <v>1.4573677974735006E+205</v>
      </c>
      <c r="WEP53" s="760">
        <f t="shared" si="281"/>
        <v>1.5010888313977057E+205</v>
      </c>
      <c r="WEQ53" s="760">
        <f t="shared" si="281"/>
        <v>1.5461214963396369E+205</v>
      </c>
      <c r="WER53" s="760">
        <f t="shared" si="281"/>
        <v>1.5925051412298261E+205</v>
      </c>
      <c r="WES53" s="760">
        <f t="shared" si="281"/>
        <v>1.6402802954667209E+205</v>
      </c>
      <c r="WET53" s="760">
        <f t="shared" si="281"/>
        <v>1.6894887043307226E+205</v>
      </c>
      <c r="WEU53" s="760">
        <f t="shared" si="281"/>
        <v>1.7401733654606443E+205</v>
      </c>
      <c r="WEV53" s="760">
        <f t="shared" si="281"/>
        <v>1.7923785664244637E+205</v>
      </c>
      <c r="WEW53" s="760">
        <f t="shared" si="281"/>
        <v>1.8461499234171976E+205</v>
      </c>
      <c r="WEX53" s="760">
        <f t="shared" si="281"/>
        <v>1.9015344211197135E+205</v>
      </c>
      <c r="WEY53" s="760">
        <f t="shared" si="281"/>
        <v>1.9585804537533049E+205</v>
      </c>
      <c r="WEZ53" s="760">
        <f t="shared" si="281"/>
        <v>2.0173378673659042E+205</v>
      </c>
      <c r="WFA53" s="760">
        <f t="shared" si="281"/>
        <v>2.0778580033868815E+205</v>
      </c>
      <c r="WFB53" s="760">
        <f t="shared" si="281"/>
        <v>2.1401937434884882E+205</v>
      </c>
      <c r="WFC53" s="760">
        <f t="shared" si="281"/>
        <v>2.2043995557931427E+205</v>
      </c>
      <c r="WFD53" s="760">
        <f t="shared" si="281"/>
        <v>2.2705315424669368E+205</v>
      </c>
      <c r="WFE53" s="760">
        <f t="shared" si="281"/>
        <v>2.3386474887409448E+205</v>
      </c>
      <c r="WFF53" s="760">
        <f t="shared" si="281"/>
        <v>2.4088069134031731E+205</v>
      </c>
      <c r="WFG53" s="760">
        <f t="shared" si="281"/>
        <v>2.4810711208052684E+205</v>
      </c>
      <c r="WFH53" s="760">
        <f t="shared" si="281"/>
        <v>2.5555032544294264E+205</v>
      </c>
      <c r="WFI53" s="760">
        <f t="shared" si="281"/>
        <v>2.6321683520623092E+205</v>
      </c>
      <c r="WFJ53" s="760">
        <f t="shared" si="281"/>
        <v>2.7111334026241787E+205</v>
      </c>
      <c r="WFK53" s="760">
        <f t="shared" si="281"/>
        <v>2.7924674047029039E+205</v>
      </c>
      <c r="WFL53" s="760">
        <f t="shared" si="281"/>
        <v>2.8762414268439912E+205</v>
      </c>
      <c r="WFM53" s="760">
        <f t="shared" si="281"/>
        <v>2.9625286696493112E+205</v>
      </c>
      <c r="WFN53" s="760">
        <f t="shared" si="281"/>
        <v>3.0514045297387908E+205</v>
      </c>
      <c r="WFO53" s="760">
        <f t="shared" si="281"/>
        <v>3.1429466656309547E+205</v>
      </c>
      <c r="WFP53" s="760">
        <f t="shared" si="281"/>
        <v>3.2372350655998834E+205</v>
      </c>
      <c r="WFQ53" s="760">
        <f t="shared" si="281"/>
        <v>3.33435211756788E+205</v>
      </c>
      <c r="WFR53" s="760">
        <f t="shared" si="281"/>
        <v>3.4343826810949165E+205</v>
      </c>
      <c r="WFS53" s="760">
        <f t="shared" si="281"/>
        <v>3.5374141615277641E+205</v>
      </c>
      <c r="WFT53" s="760">
        <f t="shared" si="281"/>
        <v>3.6435365863735969E+205</v>
      </c>
      <c r="WFU53" s="760">
        <f t="shared" si="281"/>
        <v>3.7528426839648047E+205</v>
      </c>
      <c r="WFV53" s="760">
        <f t="shared" si="281"/>
        <v>3.8654279644837488E+205</v>
      </c>
      <c r="WFW53" s="760">
        <f t="shared" si="281"/>
        <v>3.9813908034182616E+205</v>
      </c>
      <c r="WFX53" s="760">
        <f t="shared" si="281"/>
        <v>4.1008325275208093E+205</v>
      </c>
      <c r="WFY53" s="760">
        <f t="shared" si="281"/>
        <v>4.2238575033464339E+205</v>
      </c>
      <c r="WFZ53" s="760">
        <f t="shared" si="281"/>
        <v>4.3505732284468268E+205</v>
      </c>
      <c r="WGA53" s="760">
        <f t="shared" si="281"/>
        <v>4.4810904253002313E+205</v>
      </c>
      <c r="WGB53" s="760">
        <f t="shared" si="281"/>
        <v>4.6155231380592379E+205</v>
      </c>
      <c r="WGC53" s="760">
        <f t="shared" si="281"/>
        <v>4.7539888322010149E+205</v>
      </c>
      <c r="WGD53" s="760">
        <f t="shared" si="281"/>
        <v>4.8966084971670455E+205</v>
      </c>
      <c r="WGE53" s="760">
        <f t="shared" si="281"/>
        <v>5.0435067520820572E+205</v>
      </c>
      <c r="WGF53" s="760">
        <f t="shared" si="281"/>
        <v>5.1948119546445189E+205</v>
      </c>
      <c r="WGG53" s="760">
        <f t="shared" si="281"/>
        <v>5.3506563132838544E+205</v>
      </c>
      <c r="WGH53" s="760">
        <f t="shared" si="281"/>
        <v>5.5111760026823701E+205</v>
      </c>
      <c r="WGI53" s="760">
        <f t="shared" si="281"/>
        <v>5.676511282762841E+205</v>
      </c>
      <c r="WGJ53" s="760">
        <f t="shared" si="281"/>
        <v>5.846806621245726E+205</v>
      </c>
      <c r="WGK53" s="760">
        <f t="shared" si="281"/>
        <v>6.0222108198830979E+205</v>
      </c>
      <c r="WGL53" s="760">
        <f t="shared" si="281"/>
        <v>6.2028771444795909E+205</v>
      </c>
      <c r="WGM53" s="760">
        <f t="shared" si="281"/>
        <v>6.3889634588139784E+205</v>
      </c>
      <c r="WGN53" s="760">
        <f t="shared" si="281"/>
        <v>6.580632362578398E+205</v>
      </c>
      <c r="WGO53" s="760">
        <f t="shared" si="281"/>
        <v>6.77805133345575E+205</v>
      </c>
      <c r="WGP53" s="760">
        <f t="shared" si="281"/>
        <v>6.9813928734594229E+205</v>
      </c>
      <c r="WGQ53" s="760">
        <f t="shared" si="281"/>
        <v>7.1908346596632059E+205</v>
      </c>
      <c r="WGR53" s="760">
        <f t="shared" si="281"/>
        <v>7.4065596994531024E+205</v>
      </c>
      <c r="WGS53" s="760">
        <f t="shared" si="281"/>
        <v>7.6287564904366958E+205</v>
      </c>
      <c r="WGT53" s="760">
        <f t="shared" si="281"/>
        <v>7.8576191851497971E+205</v>
      </c>
      <c r="WGU53" s="760">
        <f t="shared" ref="WGU53:WJF53" si="282">+WGT53*$C$53</f>
        <v>8.0933477607042919E+205</v>
      </c>
      <c r="WGV53" s="760">
        <f t="shared" si="282"/>
        <v>8.3361481935254207E+205</v>
      </c>
      <c r="WGW53" s="760">
        <f t="shared" si="282"/>
        <v>8.5862326393311835E+205</v>
      </c>
      <c r="WGX53" s="760">
        <f t="shared" si="282"/>
        <v>8.8438196185111184E+205</v>
      </c>
      <c r="WGY53" s="760">
        <f t="shared" si="282"/>
        <v>9.1091342070664521E+205</v>
      </c>
      <c r="WGZ53" s="760">
        <f t="shared" si="282"/>
        <v>9.3824082332784468E+205</v>
      </c>
      <c r="WHA53" s="760">
        <f t="shared" si="282"/>
        <v>9.6638804802768007E+205</v>
      </c>
      <c r="WHB53" s="760">
        <f t="shared" si="282"/>
        <v>9.9537968946851056E+205</v>
      </c>
      <c r="WHC53" s="760">
        <f t="shared" si="282"/>
        <v>1.025241080152566E+206</v>
      </c>
      <c r="WHD53" s="760">
        <f t="shared" si="282"/>
        <v>1.055998312557143E+206</v>
      </c>
      <c r="WHE53" s="760">
        <f t="shared" si="282"/>
        <v>1.0876782619338573E+206</v>
      </c>
      <c r="WHF53" s="760">
        <f t="shared" si="282"/>
        <v>1.1203086097918731E+206</v>
      </c>
      <c r="WHG53" s="760">
        <f t="shared" si="282"/>
        <v>1.1539178680856293E+206</v>
      </c>
      <c r="WHH53" s="760">
        <f t="shared" si="282"/>
        <v>1.1885354041281982E+206</v>
      </c>
      <c r="WHI53" s="760">
        <f t="shared" si="282"/>
        <v>1.2241914662520441E+206</v>
      </c>
      <c r="WHJ53" s="760">
        <f t="shared" si="282"/>
        <v>1.2609172102396055E+206</v>
      </c>
      <c r="WHK53" s="760">
        <f t="shared" si="282"/>
        <v>1.2987447265467937E+206</v>
      </c>
      <c r="WHL53" s="760">
        <f t="shared" si="282"/>
        <v>1.3377070683431975E+206</v>
      </c>
      <c r="WHM53" s="760">
        <f t="shared" si="282"/>
        <v>1.3778382803934934E+206</v>
      </c>
      <c r="WHN53" s="760">
        <f t="shared" si="282"/>
        <v>1.4191734288052983E+206</v>
      </c>
      <c r="WHO53" s="760">
        <f t="shared" si="282"/>
        <v>1.4617486316694573E+206</v>
      </c>
      <c r="WHP53" s="760">
        <f t="shared" si="282"/>
        <v>1.505601090619541E+206</v>
      </c>
      <c r="WHQ53" s="760">
        <f t="shared" si="282"/>
        <v>1.5507691233381273E+206</v>
      </c>
      <c r="WHR53" s="760">
        <f t="shared" si="282"/>
        <v>1.5972921970382712E+206</v>
      </c>
      <c r="WHS53" s="760">
        <f t="shared" si="282"/>
        <v>1.6452109629494193E+206</v>
      </c>
      <c r="WHT53" s="760">
        <f t="shared" si="282"/>
        <v>1.6945672918379018E+206</v>
      </c>
      <c r="WHU53" s="760">
        <f t="shared" si="282"/>
        <v>1.7454043105930389E+206</v>
      </c>
      <c r="WHV53" s="760">
        <f t="shared" si="282"/>
        <v>1.7977664399108301E+206</v>
      </c>
      <c r="WHW53" s="760">
        <f t="shared" si="282"/>
        <v>1.851699433108155E+206</v>
      </c>
      <c r="WHX53" s="760">
        <f t="shared" si="282"/>
        <v>1.9072504161013998E+206</v>
      </c>
      <c r="WHY53" s="760">
        <f t="shared" si="282"/>
        <v>1.9644679285844419E+206</v>
      </c>
      <c r="WHZ53" s="760">
        <f t="shared" si="282"/>
        <v>2.0234019664419754E+206</v>
      </c>
      <c r="WIA53" s="760">
        <f t="shared" si="282"/>
        <v>2.0841040254352346E+206</v>
      </c>
      <c r="WIB53" s="760">
        <f t="shared" si="282"/>
        <v>2.1466271461982917E+206</v>
      </c>
      <c r="WIC53" s="760">
        <f t="shared" si="282"/>
        <v>2.2110259605842406E+206</v>
      </c>
      <c r="WID53" s="760">
        <f t="shared" si="282"/>
        <v>2.2773567394017679E+206</v>
      </c>
      <c r="WIE53" s="760">
        <f t="shared" si="282"/>
        <v>2.3456774415838211E+206</v>
      </c>
      <c r="WIF53" s="760">
        <f t="shared" si="282"/>
        <v>2.4160477648313358E+206</v>
      </c>
      <c r="WIG53" s="760">
        <f t="shared" si="282"/>
        <v>2.4885291977762759E+206</v>
      </c>
      <c r="WIH53" s="760">
        <f t="shared" si="282"/>
        <v>2.5631850737095643E+206</v>
      </c>
      <c r="WII53" s="760">
        <f t="shared" si="282"/>
        <v>2.6400806259208512E+206</v>
      </c>
      <c r="WIJ53" s="760">
        <f t="shared" si="282"/>
        <v>2.7192830446984766E+206</v>
      </c>
      <c r="WIK53" s="760">
        <f t="shared" si="282"/>
        <v>2.8008615360394309E+206</v>
      </c>
      <c r="WIL53" s="760">
        <f t="shared" si="282"/>
        <v>2.884887382120614E+206</v>
      </c>
      <c r="WIM53" s="760">
        <f t="shared" si="282"/>
        <v>2.9714340035842324E+206</v>
      </c>
      <c r="WIN53" s="760">
        <f t="shared" si="282"/>
        <v>3.0605770236917594E+206</v>
      </c>
      <c r="WIO53" s="760">
        <f t="shared" si="282"/>
        <v>3.1523943344025123E+206</v>
      </c>
      <c r="WIP53" s="760">
        <f t="shared" si="282"/>
        <v>3.2469661644345874E+206</v>
      </c>
      <c r="WIQ53" s="760">
        <f t="shared" si="282"/>
        <v>3.3443751493676248E+206</v>
      </c>
      <c r="WIR53" s="760">
        <f t="shared" si="282"/>
        <v>3.4447064038486539E+206</v>
      </c>
      <c r="WIS53" s="760">
        <f t="shared" si="282"/>
        <v>3.5480475959641134E+206</v>
      </c>
      <c r="WIT53" s="760">
        <f t="shared" si="282"/>
        <v>3.6544890238430369E+206</v>
      </c>
      <c r="WIU53" s="760">
        <f t="shared" si="282"/>
        <v>3.764123694558328E+206</v>
      </c>
      <c r="WIV53" s="760">
        <f t="shared" si="282"/>
        <v>3.8770474053950776E+206</v>
      </c>
      <c r="WIW53" s="760">
        <f t="shared" si="282"/>
        <v>3.9933588275569299E+206</v>
      </c>
      <c r="WIX53" s="760">
        <f t="shared" si="282"/>
        <v>4.113159592383638E+206</v>
      </c>
      <c r="WIY53" s="760">
        <f t="shared" si="282"/>
        <v>4.2365543801551472E+206</v>
      </c>
      <c r="WIZ53" s="760">
        <f t="shared" si="282"/>
        <v>4.3636510115598017E+206</v>
      </c>
      <c r="WJA53" s="760">
        <f t="shared" si="282"/>
        <v>4.4945605419065961E+206</v>
      </c>
      <c r="WJB53" s="760">
        <f t="shared" si="282"/>
        <v>4.629397358163794E+206</v>
      </c>
      <c r="WJC53" s="760">
        <f t="shared" si="282"/>
        <v>4.7682792789087082E+206</v>
      </c>
      <c r="WJD53" s="760">
        <f t="shared" si="282"/>
        <v>4.9113276572759695E+206</v>
      </c>
      <c r="WJE53" s="760">
        <f t="shared" si="282"/>
        <v>5.058667486994249E+206</v>
      </c>
      <c r="WJF53" s="760">
        <f t="shared" si="282"/>
        <v>5.2104275116040767E+206</v>
      </c>
      <c r="WJG53" s="760">
        <f t="shared" ref="WJG53:WLR53" si="283">+WJF53*$C$53</f>
        <v>5.3667403369521993E+206</v>
      </c>
      <c r="WJH53" s="760">
        <f t="shared" si="283"/>
        <v>5.5277425470607654E+206</v>
      </c>
      <c r="WJI53" s="760">
        <f t="shared" si="283"/>
        <v>5.6935748234725885E+206</v>
      </c>
      <c r="WJJ53" s="760">
        <f t="shared" si="283"/>
        <v>5.8643820681767663E+206</v>
      </c>
      <c r="WJK53" s="760">
        <f t="shared" si="283"/>
        <v>6.0403135302220694E+206</v>
      </c>
      <c r="WJL53" s="760">
        <f t="shared" si="283"/>
        <v>6.2215229361287319E+206</v>
      </c>
      <c r="WJM53" s="760">
        <f t="shared" si="283"/>
        <v>6.4081686242125941E+206</v>
      </c>
      <c r="WJN53" s="760">
        <f t="shared" si="283"/>
        <v>6.6004136829389724E+206</v>
      </c>
      <c r="WJO53" s="760">
        <f t="shared" si="283"/>
        <v>6.7984260934271418E+206</v>
      </c>
      <c r="WJP53" s="760">
        <f t="shared" si="283"/>
        <v>7.0023788762299556E+206</v>
      </c>
      <c r="WJQ53" s="760">
        <f t="shared" si="283"/>
        <v>7.2124502425168546E+206</v>
      </c>
      <c r="WJR53" s="760">
        <f t="shared" si="283"/>
        <v>7.42882374979236E+206</v>
      </c>
      <c r="WJS53" s="760">
        <f t="shared" si="283"/>
        <v>7.6516884622861304E+206</v>
      </c>
      <c r="WJT53" s="760">
        <f t="shared" si="283"/>
        <v>7.8812391161547138E+206</v>
      </c>
      <c r="WJU53" s="760">
        <f t="shared" si="283"/>
        <v>8.1176762896393555E+206</v>
      </c>
      <c r="WJV53" s="760">
        <f t="shared" si="283"/>
        <v>8.3612065783285366E+206</v>
      </c>
      <c r="WJW53" s="760">
        <f t="shared" si="283"/>
        <v>8.6120427756783926E+206</v>
      </c>
      <c r="WJX53" s="760">
        <f t="shared" si="283"/>
        <v>8.8704040589487445E+206</v>
      </c>
      <c r="WJY53" s="760">
        <f t="shared" si="283"/>
        <v>9.1365161807172068E+206</v>
      </c>
      <c r="WJZ53" s="760">
        <f t="shared" si="283"/>
        <v>9.4106116661387227E+206</v>
      </c>
      <c r="WKA53" s="760">
        <f t="shared" si="283"/>
        <v>9.6929300161228846E+206</v>
      </c>
      <c r="WKB53" s="760">
        <f t="shared" si="283"/>
        <v>9.9837179166065709E+206</v>
      </c>
      <c r="WKC53" s="760">
        <f t="shared" si="283"/>
        <v>1.0283229454104769E+207</v>
      </c>
      <c r="WKD53" s="760">
        <f t="shared" si="283"/>
        <v>1.0591726337727912E+207</v>
      </c>
      <c r="WKE53" s="760">
        <f t="shared" si="283"/>
        <v>1.090947812785975E+207</v>
      </c>
      <c r="WKF53" s="760">
        <f t="shared" si="283"/>
        <v>1.1236762471695543E+207</v>
      </c>
      <c r="WKG53" s="760">
        <f t="shared" si="283"/>
        <v>1.157386534584641E+207</v>
      </c>
      <c r="WKH53" s="760">
        <f t="shared" si="283"/>
        <v>1.1921081306221802E+207</v>
      </c>
      <c r="WKI53" s="760">
        <f t="shared" si="283"/>
        <v>1.2278713745408456E+207</v>
      </c>
      <c r="WKJ53" s="760">
        <f t="shared" si="283"/>
        <v>1.264707515777071E+207</v>
      </c>
      <c r="WKK53" s="760">
        <f t="shared" si="283"/>
        <v>1.3026487412503832E+207</v>
      </c>
      <c r="WKL53" s="760">
        <f t="shared" si="283"/>
        <v>1.3417282034878948E+207</v>
      </c>
      <c r="WKM53" s="760">
        <f t="shared" si="283"/>
        <v>1.3819800495925317E+207</v>
      </c>
      <c r="WKN53" s="760">
        <f t="shared" si="283"/>
        <v>1.4234394510803076E+207</v>
      </c>
      <c r="WKO53" s="760">
        <f t="shared" si="283"/>
        <v>1.4661426346127168E+207</v>
      </c>
      <c r="WKP53" s="760">
        <f t="shared" si="283"/>
        <v>1.5101269136510982E+207</v>
      </c>
      <c r="WKQ53" s="760">
        <f t="shared" si="283"/>
        <v>1.5554307210606313E+207</v>
      </c>
      <c r="WKR53" s="760">
        <f t="shared" si="283"/>
        <v>1.6020936426924503E+207</v>
      </c>
      <c r="WKS53" s="760">
        <f t="shared" si="283"/>
        <v>1.650156451973224E+207</v>
      </c>
      <c r="WKT53" s="760">
        <f t="shared" si="283"/>
        <v>1.6996611455324208E+207</v>
      </c>
      <c r="WKU53" s="760">
        <f t="shared" si="283"/>
        <v>1.7506509798983935E+207</v>
      </c>
      <c r="WKV53" s="760">
        <f t="shared" si="283"/>
        <v>1.8031705092953453E+207</v>
      </c>
      <c r="WKW53" s="760">
        <f t="shared" si="283"/>
        <v>1.8572656245742058E+207</v>
      </c>
      <c r="WKX53" s="760">
        <f t="shared" si="283"/>
        <v>1.9129835933114321E+207</v>
      </c>
      <c r="WKY53" s="760">
        <f t="shared" si="283"/>
        <v>1.9703731011107751E+207</v>
      </c>
      <c r="WKZ53" s="760">
        <f t="shared" si="283"/>
        <v>2.0294842941440983E+207</v>
      </c>
      <c r="WLA53" s="760">
        <f t="shared" si="283"/>
        <v>2.0903688229684212E+207</v>
      </c>
      <c r="WLB53" s="760">
        <f t="shared" si="283"/>
        <v>2.1530798876574738E+207</v>
      </c>
      <c r="WLC53" s="760">
        <f t="shared" si="283"/>
        <v>2.2176722842871981E+207</v>
      </c>
      <c r="WLD53" s="760">
        <f t="shared" si="283"/>
        <v>2.2842024528158141E+207</v>
      </c>
      <c r="WLE53" s="760">
        <f t="shared" si="283"/>
        <v>2.3527285264002885E+207</v>
      </c>
      <c r="WLF53" s="760">
        <f t="shared" si="283"/>
        <v>2.4233103821922971E+207</v>
      </c>
      <c r="WLG53" s="760">
        <f t="shared" si="283"/>
        <v>2.4960096936580661E+207</v>
      </c>
      <c r="WLH53" s="760">
        <f t="shared" si="283"/>
        <v>2.5708899844678082E+207</v>
      </c>
      <c r="WLI53" s="760">
        <f t="shared" si="283"/>
        <v>2.6480166840018426E+207</v>
      </c>
      <c r="WLJ53" s="760">
        <f t="shared" si="283"/>
        <v>2.7274571845218977E+207</v>
      </c>
      <c r="WLK53" s="760">
        <f t="shared" si="283"/>
        <v>2.8092809000575549E+207</v>
      </c>
      <c r="WLL53" s="760">
        <f t="shared" si="283"/>
        <v>2.8935593270592814E+207</v>
      </c>
      <c r="WLM53" s="760">
        <f t="shared" si="283"/>
        <v>2.9803661068710598E+207</v>
      </c>
      <c r="WLN53" s="760">
        <f t="shared" si="283"/>
        <v>3.069777090077192E+207</v>
      </c>
      <c r="WLO53" s="760">
        <f t="shared" si="283"/>
        <v>3.1618704027795078E+207</v>
      </c>
      <c r="WLP53" s="760">
        <f t="shared" si="283"/>
        <v>3.2567265148628929E+207</v>
      </c>
      <c r="WLQ53" s="760">
        <f t="shared" si="283"/>
        <v>3.3544283103087797E+207</v>
      </c>
      <c r="WLR53" s="760">
        <f t="shared" si="283"/>
        <v>3.4550611596180431E+207</v>
      </c>
      <c r="WLS53" s="760">
        <f t="shared" ref="WLS53:WOD53" si="284">+WLR53*$C$53</f>
        <v>3.5587129944065848E+207</v>
      </c>
      <c r="WLT53" s="760">
        <f t="shared" si="284"/>
        <v>3.6654743842387823E+207</v>
      </c>
      <c r="WLU53" s="760">
        <f t="shared" si="284"/>
        <v>3.7754386157659457E+207</v>
      </c>
      <c r="WLV53" s="760">
        <f t="shared" si="284"/>
        <v>3.8887017742389244E+207</v>
      </c>
      <c r="WLW53" s="760">
        <f t="shared" si="284"/>
        <v>4.0053628274660924E+207</v>
      </c>
      <c r="WLX53" s="760">
        <f t="shared" si="284"/>
        <v>4.1255237122900752E+207</v>
      </c>
      <c r="WLY53" s="760">
        <f t="shared" si="284"/>
        <v>4.2492894236587776E+207</v>
      </c>
      <c r="WLZ53" s="760">
        <f t="shared" si="284"/>
        <v>4.3767681063685409E+207</v>
      </c>
      <c r="WMA53" s="760">
        <f t="shared" si="284"/>
        <v>4.5080711495595971E+207</v>
      </c>
      <c r="WMB53" s="760">
        <f t="shared" si="284"/>
        <v>4.6433132840463852E+207</v>
      </c>
      <c r="WMC53" s="760">
        <f t="shared" si="284"/>
        <v>4.7826126825677769E+207</v>
      </c>
      <c r="WMD53" s="760">
        <f t="shared" si="284"/>
        <v>4.9260910630448102E+207</v>
      </c>
      <c r="WME53" s="760">
        <f t="shared" si="284"/>
        <v>5.0738737949361547E+207</v>
      </c>
      <c r="WMF53" s="760">
        <f t="shared" si="284"/>
        <v>5.2260900087842391E+207</v>
      </c>
      <c r="WMG53" s="760">
        <f t="shared" si="284"/>
        <v>5.382872709047767E+207</v>
      </c>
      <c r="WMH53" s="760">
        <f t="shared" si="284"/>
        <v>5.5443588903191999E+207</v>
      </c>
      <c r="WMI53" s="760">
        <f t="shared" si="284"/>
        <v>5.7106896570287763E+207</v>
      </c>
      <c r="WMJ53" s="760">
        <f t="shared" si="284"/>
        <v>5.8820103467396394E+207</v>
      </c>
      <c r="WMK53" s="760">
        <f t="shared" si="284"/>
        <v>6.0584706571418283E+207</v>
      </c>
      <c r="WML53" s="760">
        <f t="shared" si="284"/>
        <v>6.2402247768560837E+207</v>
      </c>
      <c r="WMM53" s="760">
        <f t="shared" si="284"/>
        <v>6.4274315201617668E+207</v>
      </c>
      <c r="WMN53" s="760">
        <f t="shared" si="284"/>
        <v>6.6202544657666196E+207</v>
      </c>
      <c r="WMO53" s="760">
        <f t="shared" si="284"/>
        <v>6.8188620997396183E+207</v>
      </c>
      <c r="WMP53" s="760">
        <f t="shared" si="284"/>
        <v>7.0234279627318075E+207</v>
      </c>
      <c r="WMQ53" s="760">
        <f t="shared" si="284"/>
        <v>7.2341308016137624E+207</v>
      </c>
      <c r="WMR53" s="760">
        <f t="shared" si="284"/>
        <v>7.451154725662176E+207</v>
      </c>
      <c r="WMS53" s="760">
        <f t="shared" si="284"/>
        <v>7.6746893674320413E+207</v>
      </c>
      <c r="WMT53" s="760">
        <f t="shared" si="284"/>
        <v>7.9049300484550023E+207</v>
      </c>
      <c r="WMU53" s="760">
        <f t="shared" si="284"/>
        <v>8.142077949908653E+207</v>
      </c>
      <c r="WMV53" s="760">
        <f t="shared" si="284"/>
        <v>8.3863402884059132E+207</v>
      </c>
      <c r="WMW53" s="760">
        <f t="shared" si="284"/>
        <v>8.6379304970580907E+207</v>
      </c>
      <c r="WMX53" s="760">
        <f t="shared" si="284"/>
        <v>8.8970684119698337E+207</v>
      </c>
      <c r="WMY53" s="760">
        <f t="shared" si="284"/>
        <v>9.1639804643289288E+207</v>
      </c>
      <c r="WMZ53" s="760">
        <f t="shared" si="284"/>
        <v>9.4388998782587965E+207</v>
      </c>
      <c r="WNA53" s="760">
        <f t="shared" si="284"/>
        <v>9.7220668746065605E+207</v>
      </c>
      <c r="WNB53" s="760">
        <f t="shared" si="284"/>
        <v>1.0013728880844758E+208</v>
      </c>
      <c r="WNC53" s="760">
        <f t="shared" si="284"/>
        <v>1.0314140747270102E+208</v>
      </c>
      <c r="WND53" s="760">
        <f t="shared" si="284"/>
        <v>1.0623564969688205E+208</v>
      </c>
      <c r="WNE53" s="760">
        <f t="shared" si="284"/>
        <v>1.0942271918778852E+208</v>
      </c>
      <c r="WNF53" s="760">
        <f t="shared" si="284"/>
        <v>1.1270540076342218E+208</v>
      </c>
      <c r="WNG53" s="760">
        <f t="shared" si="284"/>
        <v>1.1608656278632486E+208</v>
      </c>
      <c r="WNH53" s="760">
        <f t="shared" si="284"/>
        <v>1.1956915966991461E+208</v>
      </c>
      <c r="WNI53" s="760">
        <f t="shared" si="284"/>
        <v>1.2315623446001207E+208</v>
      </c>
      <c r="WNJ53" s="760">
        <f t="shared" si="284"/>
        <v>1.2685092149381242E+208</v>
      </c>
      <c r="WNK53" s="760">
        <f t="shared" si="284"/>
        <v>1.3065644913862681E+208</v>
      </c>
      <c r="WNL53" s="760">
        <f t="shared" si="284"/>
        <v>1.3457614261278562E+208</v>
      </c>
      <c r="WNM53" s="760">
        <f t="shared" si="284"/>
        <v>1.3861342689116919E+208</v>
      </c>
      <c r="WNN53" s="760">
        <f t="shared" si="284"/>
        <v>1.4277182969790427E+208</v>
      </c>
      <c r="WNO53" s="760">
        <f t="shared" si="284"/>
        <v>1.470549845888414E+208</v>
      </c>
      <c r="WNP53" s="760">
        <f t="shared" si="284"/>
        <v>1.5146663412650665E+208</v>
      </c>
      <c r="WNQ53" s="760">
        <f t="shared" si="284"/>
        <v>1.5601063315030186E+208</v>
      </c>
      <c r="WNR53" s="760">
        <f t="shared" si="284"/>
        <v>1.6069095214481091E+208</v>
      </c>
      <c r="WNS53" s="760">
        <f t="shared" si="284"/>
        <v>1.6551168070915524E+208</v>
      </c>
      <c r="WNT53" s="760">
        <f t="shared" si="284"/>
        <v>1.7047703113042989E+208</v>
      </c>
      <c r="WNU53" s="760">
        <f t="shared" si="284"/>
        <v>1.755913420643428E+208</v>
      </c>
      <c r="WNV53" s="760">
        <f t="shared" si="284"/>
        <v>1.8085908232627309E+208</v>
      </c>
      <c r="WNW53" s="760">
        <f t="shared" si="284"/>
        <v>1.862848547960613E+208</v>
      </c>
      <c r="WNX53" s="760">
        <f t="shared" si="284"/>
        <v>1.9187340043994314E+208</v>
      </c>
      <c r="WNY53" s="760">
        <f t="shared" si="284"/>
        <v>1.9762960245314143E+208</v>
      </c>
      <c r="WNZ53" s="760">
        <f t="shared" si="284"/>
        <v>2.0355849052673568E+208</v>
      </c>
      <c r="WOA53" s="760">
        <f t="shared" si="284"/>
        <v>2.0966524524253773E+208</v>
      </c>
      <c r="WOB53" s="760">
        <f t="shared" si="284"/>
        <v>2.1595520259981386E+208</v>
      </c>
      <c r="WOC53" s="760">
        <f t="shared" si="284"/>
        <v>2.2243385867780829E+208</v>
      </c>
      <c r="WOD53" s="760">
        <f t="shared" si="284"/>
        <v>2.2910687443814252E+208</v>
      </c>
      <c r="WOE53" s="760">
        <f t="shared" ref="WOE53:WQP53" si="285">+WOD53*$C$53</f>
        <v>2.3598008067128682E+208</v>
      </c>
      <c r="WOF53" s="760">
        <f t="shared" si="285"/>
        <v>2.4305948309142542E+208</v>
      </c>
      <c r="WOG53" s="760">
        <f t="shared" si="285"/>
        <v>2.5035126758416819E+208</v>
      </c>
      <c r="WOH53" s="760">
        <f t="shared" si="285"/>
        <v>2.5786180561169323E+208</v>
      </c>
      <c r="WOI53" s="760">
        <f t="shared" si="285"/>
        <v>2.6559765978004402E+208</v>
      </c>
      <c r="WOJ53" s="760">
        <f t="shared" si="285"/>
        <v>2.7356558957344534E+208</v>
      </c>
      <c r="WOK53" s="760">
        <f t="shared" si="285"/>
        <v>2.817725572606487E+208</v>
      </c>
      <c r="WOL53" s="760">
        <f t="shared" si="285"/>
        <v>2.9022573397846818E+208</v>
      </c>
      <c r="WOM53" s="760">
        <f t="shared" si="285"/>
        <v>2.9893250599782224E+208</v>
      </c>
      <c r="WON53" s="760">
        <f t="shared" si="285"/>
        <v>3.079004811777569E+208</v>
      </c>
      <c r="WOO53" s="760">
        <f t="shared" si="285"/>
        <v>3.171374956130896E+208</v>
      </c>
      <c r="WOP53" s="760">
        <f t="shared" si="285"/>
        <v>3.2665162048148232E+208</v>
      </c>
      <c r="WOQ53" s="760">
        <f t="shared" si="285"/>
        <v>3.3645116909592682E+208</v>
      </c>
      <c r="WOR53" s="760">
        <f t="shared" si="285"/>
        <v>3.4654470416880463E+208</v>
      </c>
      <c r="WOS53" s="760">
        <f t="shared" si="285"/>
        <v>3.5694104529386876E+208</v>
      </c>
      <c r="WOT53" s="760">
        <f t="shared" si="285"/>
        <v>3.6764927665268483E+208</v>
      </c>
      <c r="WOU53" s="760">
        <f t="shared" si="285"/>
        <v>3.786787549522654E+208</v>
      </c>
      <c r="WOV53" s="760">
        <f t="shared" si="285"/>
        <v>3.9003911760083335E+208</v>
      </c>
      <c r="WOW53" s="760">
        <f t="shared" si="285"/>
        <v>4.0174029112885838E+208</v>
      </c>
      <c r="WOX53" s="760">
        <f t="shared" si="285"/>
        <v>4.1379249986272418E+208</v>
      </c>
      <c r="WOY53" s="760">
        <f t="shared" si="285"/>
        <v>4.2620627485860595E+208</v>
      </c>
      <c r="WOZ53" s="760">
        <f t="shared" si="285"/>
        <v>4.3899246310436416E+208</v>
      </c>
      <c r="WPA53" s="760">
        <f t="shared" si="285"/>
        <v>4.5216223699749511E+208</v>
      </c>
      <c r="WPB53" s="760">
        <f t="shared" si="285"/>
        <v>4.6572710410742001E+208</v>
      </c>
      <c r="WPC53" s="760">
        <f t="shared" si="285"/>
        <v>4.7969891723064261E+208</v>
      </c>
      <c r="WPD53" s="760">
        <f t="shared" si="285"/>
        <v>4.9408988474756193E+208</v>
      </c>
      <c r="WPE53" s="760">
        <f t="shared" si="285"/>
        <v>5.0891258128998883E+208</v>
      </c>
      <c r="WPF53" s="760">
        <f t="shared" si="285"/>
        <v>5.2417995872868854E+208</v>
      </c>
      <c r="WPG53" s="760">
        <f t="shared" si="285"/>
        <v>5.3990535749054922E+208</v>
      </c>
      <c r="WPH53" s="760">
        <f t="shared" si="285"/>
        <v>5.5610251821526574E+208</v>
      </c>
      <c r="WPI53" s="760">
        <f t="shared" si="285"/>
        <v>5.7278559376172369E+208</v>
      </c>
      <c r="WPJ53" s="760">
        <f t="shared" si="285"/>
        <v>5.8996916157457537E+208</v>
      </c>
      <c r="WPK53" s="760">
        <f t="shared" si="285"/>
        <v>6.0766823642181268E+208</v>
      </c>
      <c r="WPL53" s="760">
        <f t="shared" si="285"/>
        <v>6.2589828351446709E+208</v>
      </c>
      <c r="WPM53" s="760">
        <f t="shared" si="285"/>
        <v>6.4467523201990109E+208</v>
      </c>
      <c r="WPN53" s="760">
        <f t="shared" si="285"/>
        <v>6.6401548898049812E+208</v>
      </c>
      <c r="WPO53" s="760">
        <f t="shared" si="285"/>
        <v>6.8393595364991303E+208</v>
      </c>
      <c r="WPP53" s="760">
        <f t="shared" si="285"/>
        <v>7.0445403225941046E+208</v>
      </c>
      <c r="WPQ53" s="760">
        <f t="shared" si="285"/>
        <v>7.2558765322719283E+208</v>
      </c>
      <c r="WPR53" s="760">
        <f t="shared" si="285"/>
        <v>7.4735528282400859E+208</v>
      </c>
      <c r="WPS53" s="760">
        <f t="shared" si="285"/>
        <v>7.6977594130872883E+208</v>
      </c>
      <c r="WPT53" s="760">
        <f t="shared" si="285"/>
        <v>7.9286921954799075E+208</v>
      </c>
      <c r="WPU53" s="760">
        <f t="shared" si="285"/>
        <v>8.1665529613443054E+208</v>
      </c>
      <c r="WPV53" s="760">
        <f t="shared" si="285"/>
        <v>8.411549550184634E+208</v>
      </c>
      <c r="WPW53" s="760">
        <f t="shared" si="285"/>
        <v>8.6638960366901733E+208</v>
      </c>
      <c r="WPX53" s="760">
        <f t="shared" si="285"/>
        <v>8.9238129177908789E+208</v>
      </c>
      <c r="WPY53" s="760">
        <f t="shared" si="285"/>
        <v>9.1915273053246052E+208</v>
      </c>
      <c r="WPZ53" s="760">
        <f t="shared" si="285"/>
        <v>9.4672731244843441E+208</v>
      </c>
      <c r="WQA53" s="760">
        <f t="shared" si="285"/>
        <v>9.7512913182188747E+208</v>
      </c>
      <c r="WQB53" s="760">
        <f t="shared" si="285"/>
        <v>1.0043830057765442E+209</v>
      </c>
      <c r="WQC53" s="760">
        <f t="shared" si="285"/>
        <v>1.0345144959498405E+209</v>
      </c>
      <c r="WQD53" s="760">
        <f t="shared" si="285"/>
        <v>1.0655499308283356E+209</v>
      </c>
      <c r="WQE53" s="760">
        <f t="shared" si="285"/>
        <v>1.0975164287531857E+209</v>
      </c>
      <c r="WQF53" s="760">
        <f t="shared" si="285"/>
        <v>1.1304419216157812E+209</v>
      </c>
      <c r="WQG53" s="760">
        <f t="shared" si="285"/>
        <v>1.1643551792642546E+209</v>
      </c>
      <c r="WQH53" s="760">
        <f t="shared" si="285"/>
        <v>1.1992858346421823E+209</v>
      </c>
      <c r="WQI53" s="760">
        <f t="shared" si="285"/>
        <v>1.2352644096814477E+209</v>
      </c>
      <c r="WQJ53" s="760">
        <f t="shared" si="285"/>
        <v>1.2723223419718912E+209</v>
      </c>
      <c r="WQK53" s="760">
        <f t="shared" si="285"/>
        <v>1.3104920122310481E+209</v>
      </c>
      <c r="WQL53" s="760">
        <f t="shared" si="285"/>
        <v>1.3498067725979796E+209</v>
      </c>
      <c r="WQM53" s="760">
        <f t="shared" si="285"/>
        <v>1.3903009757759191E+209</v>
      </c>
      <c r="WQN53" s="760">
        <f t="shared" si="285"/>
        <v>1.4320100050491968E+209</v>
      </c>
      <c r="WQO53" s="760">
        <f t="shared" si="285"/>
        <v>1.4749703052006727E+209</v>
      </c>
      <c r="WQP53" s="760">
        <f t="shared" si="285"/>
        <v>1.5192194143566929E+209</v>
      </c>
      <c r="WQQ53" s="760">
        <f t="shared" ref="WQQ53:WTB53" si="286">+WQP53*$C$53</f>
        <v>1.5647959967873938E+209</v>
      </c>
      <c r="WQR53" s="760">
        <f t="shared" si="286"/>
        <v>1.6117398766910156E+209</v>
      </c>
      <c r="WQS53" s="760">
        <f t="shared" si="286"/>
        <v>1.6600920729917462E+209</v>
      </c>
      <c r="WQT53" s="760">
        <f t="shared" si="286"/>
        <v>1.7098948351814987E+209</v>
      </c>
      <c r="WQU53" s="760">
        <f t="shared" si="286"/>
        <v>1.7611916802369437E+209</v>
      </c>
      <c r="WQV53" s="760">
        <f t="shared" si="286"/>
        <v>1.814027430644052E+209</v>
      </c>
      <c r="WQW53" s="760">
        <f t="shared" si="286"/>
        <v>1.8684482535633737E+209</v>
      </c>
      <c r="WQX53" s="760">
        <f t="shared" si="286"/>
        <v>1.9245017011702751E+209</v>
      </c>
      <c r="WQY53" s="760">
        <f t="shared" si="286"/>
        <v>1.9822367522053835E+209</v>
      </c>
      <c r="WQZ53" s="760">
        <f t="shared" si="286"/>
        <v>2.041703854771545E+209</v>
      </c>
      <c r="WRA53" s="760">
        <f t="shared" si="286"/>
        <v>2.1029549704146915E+209</v>
      </c>
      <c r="WRB53" s="760">
        <f t="shared" si="286"/>
        <v>2.1660436195271323E+209</v>
      </c>
      <c r="WRC53" s="760">
        <f t="shared" si="286"/>
        <v>2.2310249281129463E+209</v>
      </c>
      <c r="WRD53" s="760">
        <f t="shared" si="286"/>
        <v>2.2979556759563349E+209</v>
      </c>
      <c r="WRE53" s="760">
        <f t="shared" si="286"/>
        <v>2.3668943462350251E+209</v>
      </c>
      <c r="WRF53" s="760">
        <f t="shared" si="286"/>
        <v>2.4379011766220759E+209</v>
      </c>
      <c r="WRG53" s="760">
        <f t="shared" si="286"/>
        <v>2.5110382119207382E+209</v>
      </c>
      <c r="WRH53" s="760">
        <f t="shared" si="286"/>
        <v>2.5863693582783605E+209</v>
      </c>
      <c r="WRI53" s="760">
        <f t="shared" si="286"/>
        <v>2.6639604390267115E+209</v>
      </c>
      <c r="WRJ53" s="760">
        <f t="shared" si="286"/>
        <v>2.7438792521975129E+209</v>
      </c>
      <c r="WRK53" s="760">
        <f t="shared" si="286"/>
        <v>2.8261956297634382E+209</v>
      </c>
      <c r="WRL53" s="760">
        <f t="shared" si="286"/>
        <v>2.9109814986563416E+209</v>
      </c>
      <c r="WRM53" s="760">
        <f t="shared" si="286"/>
        <v>2.9983109436160319E+209</v>
      </c>
      <c r="WRN53" s="760">
        <f t="shared" si="286"/>
        <v>3.0882602719245131E+209</v>
      </c>
      <c r="WRO53" s="760">
        <f t="shared" si="286"/>
        <v>3.1809080800822486E+209</v>
      </c>
      <c r="WRP53" s="760">
        <f t="shared" si="286"/>
        <v>3.276335322484716E+209</v>
      </c>
      <c r="WRQ53" s="760">
        <f t="shared" si="286"/>
        <v>3.3746253821592574E+209</v>
      </c>
      <c r="WRR53" s="760">
        <f t="shared" si="286"/>
        <v>3.475864143624035E+209</v>
      </c>
      <c r="WRS53" s="760">
        <f t="shared" si="286"/>
        <v>3.5801400679327559E+209</v>
      </c>
      <c r="WRT53" s="760">
        <f t="shared" si="286"/>
        <v>3.6875442699707389E+209</v>
      </c>
      <c r="WRU53" s="760">
        <f t="shared" si="286"/>
        <v>3.7981705980698608E+209</v>
      </c>
      <c r="WRV53" s="760">
        <f t="shared" si="286"/>
        <v>3.9121157160119564E+209</v>
      </c>
      <c r="WRW53" s="760">
        <f t="shared" si="286"/>
        <v>4.0294791874923151E+209</v>
      </c>
      <c r="WRX53" s="760">
        <f t="shared" si="286"/>
        <v>4.1503635631170844E+209</v>
      </c>
      <c r="WRY53" s="760">
        <f t="shared" si="286"/>
        <v>4.2748744700105967E+209</v>
      </c>
      <c r="WRZ53" s="760">
        <f t="shared" si="286"/>
        <v>4.4031207041109145E+209</v>
      </c>
      <c r="WSA53" s="760">
        <f t="shared" si="286"/>
        <v>4.5352143252342421E+209</v>
      </c>
      <c r="WSB53" s="760">
        <f t="shared" si="286"/>
        <v>4.6712707549912698E+209</v>
      </c>
      <c r="WSC53" s="760">
        <f t="shared" si="286"/>
        <v>4.811408877641008E+209</v>
      </c>
      <c r="WSD53" s="760">
        <f t="shared" si="286"/>
        <v>4.955751143970238E+209</v>
      </c>
      <c r="WSE53" s="760">
        <f t="shared" si="286"/>
        <v>5.1044236782893453E+209</v>
      </c>
      <c r="WSF53" s="760">
        <f t="shared" si="286"/>
        <v>5.2575563886380257E+209</v>
      </c>
      <c r="WSG53" s="760">
        <f t="shared" si="286"/>
        <v>5.4152830802971665E+209</v>
      </c>
      <c r="WSH53" s="760">
        <f t="shared" si="286"/>
        <v>5.5777415727060814E+209</v>
      </c>
      <c r="WSI53" s="760">
        <f t="shared" si="286"/>
        <v>5.7450738198872639E+209</v>
      </c>
      <c r="WSJ53" s="760">
        <f t="shared" si="286"/>
        <v>5.9174260344838818E+209</v>
      </c>
      <c r="WSK53" s="760">
        <f t="shared" si="286"/>
        <v>6.0949488155183986E+209</v>
      </c>
      <c r="WSL53" s="760">
        <f t="shared" si="286"/>
        <v>6.2777972799839504E+209</v>
      </c>
      <c r="WSM53" s="760">
        <f t="shared" si="286"/>
        <v>6.4661311983834693E+209</v>
      </c>
      <c r="WSN53" s="760">
        <f t="shared" si="286"/>
        <v>6.6601151343349732E+209</v>
      </c>
      <c r="WSO53" s="760">
        <f t="shared" si="286"/>
        <v>6.8599185883650222E+209</v>
      </c>
      <c r="WSP53" s="760">
        <f t="shared" si="286"/>
        <v>7.0657161460159736E+209</v>
      </c>
      <c r="WSQ53" s="760">
        <f t="shared" si="286"/>
        <v>7.2776876303964529E+209</v>
      </c>
      <c r="WSR53" s="760">
        <f t="shared" si="286"/>
        <v>7.4960182593083473E+209</v>
      </c>
      <c r="WSS53" s="760">
        <f t="shared" si="286"/>
        <v>7.7208988070875974E+209</v>
      </c>
      <c r="WST53" s="760">
        <f t="shared" si="286"/>
        <v>7.9525257713002257E+209</v>
      </c>
      <c r="WSU53" s="760">
        <f t="shared" si="286"/>
        <v>8.1911015444392323E+209</v>
      </c>
      <c r="WSV53" s="760">
        <f t="shared" si="286"/>
        <v>8.4368345907724094E+209</v>
      </c>
      <c r="WSW53" s="760">
        <f t="shared" si="286"/>
        <v>8.6899396284955821E+209</v>
      </c>
      <c r="WSX53" s="760">
        <f t="shared" si="286"/>
        <v>8.95063781735045E+209</v>
      </c>
      <c r="WSY53" s="760">
        <f t="shared" si="286"/>
        <v>9.2191569518709631E+209</v>
      </c>
      <c r="WSZ53" s="760">
        <f t="shared" si="286"/>
        <v>9.4957316604270923E+209</v>
      </c>
      <c r="WTA53" s="760">
        <f t="shared" si="286"/>
        <v>9.780603610239906E+209</v>
      </c>
      <c r="WTB53" s="760">
        <f t="shared" si="286"/>
        <v>1.0074021718547104E+210</v>
      </c>
      <c r="WTC53" s="760">
        <f t="shared" ref="WTC53:WVN53" si="287">+WTB53*$C$53</f>
        <v>1.0376242370103518E+210</v>
      </c>
      <c r="WTD53" s="760">
        <f t="shared" si="287"/>
        <v>1.0687529641206624E+210</v>
      </c>
      <c r="WTE53" s="760">
        <f t="shared" si="287"/>
        <v>1.1008155530442823E+210</v>
      </c>
      <c r="WTF53" s="760">
        <f t="shared" si="287"/>
        <v>1.1338400196356109E+210</v>
      </c>
      <c r="WTG53" s="760">
        <f t="shared" si="287"/>
        <v>1.1678552202246792E+210</v>
      </c>
      <c r="WTH53" s="760">
        <f t="shared" si="287"/>
        <v>1.2028908768314197E+210</v>
      </c>
      <c r="WTI53" s="760">
        <f t="shared" si="287"/>
        <v>1.2389776031363623E+210</v>
      </c>
      <c r="WTJ53" s="760">
        <f t="shared" si="287"/>
        <v>1.2761469312304532E+210</v>
      </c>
      <c r="WTK53" s="760">
        <f t="shared" si="287"/>
        <v>1.3144313391673669E+210</v>
      </c>
      <c r="WTL53" s="760">
        <f t="shared" si="287"/>
        <v>1.3538642793423879E+210</v>
      </c>
      <c r="WTM53" s="760">
        <f t="shared" si="287"/>
        <v>1.3944802077226595E+210</v>
      </c>
      <c r="WTN53" s="760">
        <f t="shared" si="287"/>
        <v>1.4363146139543395E+210</v>
      </c>
      <c r="WTO53" s="760">
        <f t="shared" si="287"/>
        <v>1.4794040523729698E+210</v>
      </c>
      <c r="WTP53" s="760">
        <f t="shared" si="287"/>
        <v>1.523786173944159E+210</v>
      </c>
      <c r="WTQ53" s="760">
        <f t="shared" si="287"/>
        <v>1.5694997591624839E+210</v>
      </c>
      <c r="WTR53" s="760">
        <f t="shared" si="287"/>
        <v>1.6165847519373584E+210</v>
      </c>
      <c r="WTS53" s="760">
        <f t="shared" si="287"/>
        <v>1.665082294495479E+210</v>
      </c>
      <c r="WTT53" s="760">
        <f t="shared" si="287"/>
        <v>1.7150347633303434E+210</v>
      </c>
      <c r="WTU53" s="760">
        <f t="shared" si="287"/>
        <v>1.7664858062302538E+210</v>
      </c>
      <c r="WTV53" s="760">
        <f t="shared" si="287"/>
        <v>1.8194803804171613E+210</v>
      </c>
      <c r="WTW53" s="760">
        <f t="shared" si="287"/>
        <v>1.8740647918296762E+210</v>
      </c>
      <c r="WTX53" s="760">
        <f t="shared" si="287"/>
        <v>1.9302867355845665E+210</v>
      </c>
      <c r="WTY53" s="760">
        <f t="shared" si="287"/>
        <v>1.9881953376521036E+210</v>
      </c>
      <c r="WTZ53" s="760">
        <f t="shared" si="287"/>
        <v>2.0478411977816669E+210</v>
      </c>
      <c r="WUA53" s="760">
        <f t="shared" si="287"/>
        <v>2.1092764337151169E+210</v>
      </c>
      <c r="WUB53" s="760">
        <f t="shared" si="287"/>
        <v>2.1725547267265705E+210</v>
      </c>
      <c r="WUC53" s="760">
        <f t="shared" si="287"/>
        <v>2.2377313685283677E+210</v>
      </c>
      <c r="WUD53" s="760">
        <f t="shared" si="287"/>
        <v>2.3048633095842188E+210</v>
      </c>
      <c r="WUE53" s="760">
        <f t="shared" si="287"/>
        <v>2.3740092088717453E+210</v>
      </c>
      <c r="WUF53" s="760">
        <f t="shared" si="287"/>
        <v>2.4452294851378978E+210</v>
      </c>
      <c r="WUG53" s="760">
        <f t="shared" si="287"/>
        <v>2.5185863696920347E+210</v>
      </c>
      <c r="WUH53" s="760">
        <f t="shared" si="287"/>
        <v>2.5941439607827959E+210</v>
      </c>
      <c r="WUI53" s="760">
        <f t="shared" si="287"/>
        <v>2.6719682796062798E+210</v>
      </c>
      <c r="WUJ53" s="760">
        <f t="shared" si="287"/>
        <v>2.7521273279944683E+210</v>
      </c>
      <c r="WUK53" s="760">
        <f t="shared" si="287"/>
        <v>2.8346911478343026E+210</v>
      </c>
      <c r="WUL53" s="760">
        <f t="shared" si="287"/>
        <v>2.9197318822693318E+210</v>
      </c>
      <c r="WUM53" s="760">
        <f t="shared" si="287"/>
        <v>3.0073238387374117E+210</v>
      </c>
      <c r="WUN53" s="760">
        <f t="shared" si="287"/>
        <v>3.0975435538995339E+210</v>
      </c>
      <c r="WUO53" s="760">
        <f t="shared" si="287"/>
        <v>3.1904698605165203E+210</v>
      </c>
      <c r="WUP53" s="760">
        <f t="shared" si="287"/>
        <v>3.2861839563320159E+210</v>
      </c>
      <c r="WUQ53" s="760">
        <f t="shared" si="287"/>
        <v>3.3847694750219762E+210</v>
      </c>
      <c r="WUR53" s="760">
        <f t="shared" si="287"/>
        <v>3.4863125592726353E+210</v>
      </c>
      <c r="WUS53" s="760">
        <f t="shared" si="287"/>
        <v>3.5909019360508148E+210</v>
      </c>
      <c r="WUT53" s="760">
        <f t="shared" si="287"/>
        <v>3.6986289941323395E+210</v>
      </c>
      <c r="WUU53" s="760">
        <f t="shared" si="287"/>
        <v>3.8095878639563096E+210</v>
      </c>
      <c r="WUV53" s="760">
        <f t="shared" si="287"/>
        <v>3.9238754998749991E+210</v>
      </c>
      <c r="WUW53" s="760">
        <f t="shared" si="287"/>
        <v>4.0415917648712492E+210</v>
      </c>
      <c r="WUX53" s="760">
        <f t="shared" si="287"/>
        <v>4.1628395178173866E+210</v>
      </c>
      <c r="WUY53" s="760">
        <f t="shared" si="287"/>
        <v>4.2877247033519085E+210</v>
      </c>
      <c r="WUZ53" s="760">
        <f t="shared" si="287"/>
        <v>4.416356444452466E+210</v>
      </c>
      <c r="WVA53" s="760">
        <f t="shared" si="287"/>
        <v>4.54884713778604E+210</v>
      </c>
      <c r="WVB53" s="760">
        <f t="shared" si="287"/>
        <v>4.6853125519196215E+210</v>
      </c>
      <c r="WVC53" s="760">
        <f t="shared" si="287"/>
        <v>4.8258719284772101E+210</v>
      </c>
      <c r="WVD53" s="760">
        <f t="shared" si="287"/>
        <v>4.9706480863315266E+210</v>
      </c>
      <c r="WVE53" s="760">
        <f t="shared" si="287"/>
        <v>5.1197675289214723E+210</v>
      </c>
      <c r="WVF53" s="760">
        <f t="shared" si="287"/>
        <v>5.2733605547891166E+210</v>
      </c>
      <c r="WVG53" s="760">
        <f t="shared" si="287"/>
        <v>5.4315613714327899E+210</v>
      </c>
      <c r="WVH53" s="760">
        <f t="shared" si="287"/>
        <v>5.5945082125757736E+210</v>
      </c>
      <c r="WVI53" s="760">
        <f t="shared" si="287"/>
        <v>5.7623434589530463E+210</v>
      </c>
      <c r="WVJ53" s="760">
        <f t="shared" si="287"/>
        <v>5.9352137627216378E+210</v>
      </c>
      <c r="WVK53" s="760">
        <f t="shared" si="287"/>
        <v>6.1132701756032874E+210</v>
      </c>
      <c r="WVL53" s="760">
        <f t="shared" si="287"/>
        <v>6.296668280871386E+210</v>
      </c>
      <c r="WVM53" s="760">
        <f t="shared" si="287"/>
        <v>6.485568329297528E+210</v>
      </c>
      <c r="WVN53" s="760">
        <f t="shared" si="287"/>
        <v>6.6801353791764539E+210</v>
      </c>
      <c r="WVO53" s="760">
        <f t="shared" ref="WVO53:WXZ53" si="288">+WVN53*$C$53</f>
        <v>6.8805394405517472E+210</v>
      </c>
      <c r="WVP53" s="760">
        <f t="shared" si="288"/>
        <v>7.0869556237682995E+210</v>
      </c>
      <c r="WVQ53" s="760">
        <f t="shared" si="288"/>
        <v>7.2995642924813485E+210</v>
      </c>
      <c r="WVR53" s="760">
        <f t="shared" si="288"/>
        <v>7.5185512212557892E+210</v>
      </c>
      <c r="WVS53" s="760">
        <f t="shared" si="288"/>
        <v>7.7441077578934635E+210</v>
      </c>
      <c r="WVT53" s="760">
        <f t="shared" si="288"/>
        <v>7.9764309906302672E+210</v>
      </c>
      <c r="WVU53" s="760">
        <f t="shared" si="288"/>
        <v>8.2157239203491756E+210</v>
      </c>
      <c r="WVV53" s="760">
        <f t="shared" si="288"/>
        <v>8.4621956379596515E+210</v>
      </c>
      <c r="WVW53" s="760">
        <f t="shared" si="288"/>
        <v>8.7160615070984416E+210</v>
      </c>
      <c r="WVX53" s="760">
        <f t="shared" si="288"/>
        <v>8.9775433523113948E+210</v>
      </c>
      <c r="WVY53" s="760">
        <f t="shared" si="288"/>
        <v>9.2468696528807366E+210</v>
      </c>
      <c r="WVZ53" s="760">
        <f t="shared" si="288"/>
        <v>9.5242757424671595E+210</v>
      </c>
      <c r="WWA53" s="760">
        <f t="shared" si="288"/>
        <v>9.8100040147411749E+210</v>
      </c>
      <c r="WWB53" s="760">
        <f t="shared" si="288"/>
        <v>1.010430413518341E+211</v>
      </c>
      <c r="WWC53" s="760">
        <f t="shared" si="288"/>
        <v>1.0407433259238913E+211</v>
      </c>
      <c r="WWD53" s="760">
        <f t="shared" si="288"/>
        <v>1.0719656257016079E+211</v>
      </c>
      <c r="WWE53" s="760">
        <f t="shared" si="288"/>
        <v>1.1041245944726563E+211</v>
      </c>
      <c r="WWF53" s="760">
        <f t="shared" si="288"/>
        <v>1.1372483323068362E+211</v>
      </c>
      <c r="WWG53" s="760">
        <f t="shared" si="288"/>
        <v>1.1713657822760412E+211</v>
      </c>
      <c r="WWH53" s="760">
        <f t="shared" si="288"/>
        <v>1.2065067557443224E+211</v>
      </c>
      <c r="WWI53" s="760">
        <f t="shared" si="288"/>
        <v>1.2427019584166521E+211</v>
      </c>
      <c r="WWJ53" s="760">
        <f t="shared" si="288"/>
        <v>1.2799830171691517E+211</v>
      </c>
      <c r="WWK53" s="760">
        <f t="shared" si="288"/>
        <v>1.3183825076842264E+211</v>
      </c>
      <c r="WWL53" s="760">
        <f t="shared" si="288"/>
        <v>1.3579339829147532E+211</v>
      </c>
      <c r="WWM53" s="760">
        <f t="shared" si="288"/>
        <v>1.3986720024021958E+211</v>
      </c>
      <c r="WWN53" s="760">
        <f t="shared" si="288"/>
        <v>1.4406321624742617E+211</v>
      </c>
      <c r="WWO53" s="760">
        <f t="shared" si="288"/>
        <v>1.4838511273484897E+211</v>
      </c>
      <c r="WWP53" s="760">
        <f t="shared" si="288"/>
        <v>1.5283666611689444E+211</v>
      </c>
      <c r="WWQ53" s="760">
        <f t="shared" si="288"/>
        <v>1.5742176610040128E+211</v>
      </c>
      <c r="WWR53" s="760">
        <f t="shared" si="288"/>
        <v>1.6214441908341331E+211</v>
      </c>
      <c r="WWS53" s="760">
        <f t="shared" si="288"/>
        <v>1.6700875165591571E+211</v>
      </c>
      <c r="WWT53" s="760">
        <f t="shared" si="288"/>
        <v>1.7201901420559318E+211</v>
      </c>
      <c r="WWU53" s="760">
        <f t="shared" si="288"/>
        <v>1.7717958463176097E+211</v>
      </c>
      <c r="WWV53" s="760">
        <f t="shared" si="288"/>
        <v>1.824949721707138E+211</v>
      </c>
      <c r="WWW53" s="760">
        <f t="shared" si="288"/>
        <v>1.8796982133583522E+211</v>
      </c>
      <c r="WWX53" s="760">
        <f t="shared" si="288"/>
        <v>1.9360891597591029E+211</v>
      </c>
      <c r="WWY53" s="760">
        <f t="shared" si="288"/>
        <v>1.994171834551876E+211</v>
      </c>
      <c r="WWZ53" s="760">
        <f t="shared" si="288"/>
        <v>2.0539969895884324E+211</v>
      </c>
      <c r="WXA53" s="760">
        <f t="shared" si="288"/>
        <v>2.1156168992760854E+211</v>
      </c>
      <c r="WXB53" s="760">
        <f t="shared" si="288"/>
        <v>2.1790854062543681E+211</v>
      </c>
      <c r="WXC53" s="760">
        <f t="shared" si="288"/>
        <v>2.2444579684419992E+211</v>
      </c>
      <c r="WXD53" s="760">
        <f t="shared" si="288"/>
        <v>2.3117917074952591E+211</v>
      </c>
      <c r="WXE53" s="760">
        <f t="shared" si="288"/>
        <v>2.3811454587201171E+211</v>
      </c>
      <c r="WXF53" s="760">
        <f t="shared" si="288"/>
        <v>2.4525798224817209E+211</v>
      </c>
      <c r="WXG53" s="760">
        <f t="shared" si="288"/>
        <v>2.5261572171561728E+211</v>
      </c>
      <c r="WXH53" s="760">
        <f t="shared" si="288"/>
        <v>2.6019419336708578E+211</v>
      </c>
      <c r="WXI53" s="760">
        <f t="shared" si="288"/>
        <v>2.6800001916809837E+211</v>
      </c>
      <c r="WXJ53" s="760">
        <f t="shared" si="288"/>
        <v>2.7604001974314135E+211</v>
      </c>
      <c r="WXK53" s="760">
        <f t="shared" si="288"/>
        <v>2.843212203354356E+211</v>
      </c>
      <c r="WXL53" s="760">
        <f t="shared" si="288"/>
        <v>2.9285085694549865E+211</v>
      </c>
      <c r="WXM53" s="760">
        <f t="shared" si="288"/>
        <v>3.0163638265386362E+211</v>
      </c>
      <c r="WXN53" s="760">
        <f t="shared" si="288"/>
        <v>3.1068547413347952E+211</v>
      </c>
      <c r="WXO53" s="760">
        <f t="shared" si="288"/>
        <v>3.2000603835748391E+211</v>
      </c>
      <c r="WXP53" s="760">
        <f t="shared" si="288"/>
        <v>3.2960621950820846E+211</v>
      </c>
      <c r="WXQ53" s="760">
        <f t="shared" si="288"/>
        <v>3.394944060934547E+211</v>
      </c>
      <c r="WXR53" s="760">
        <f t="shared" si="288"/>
        <v>3.4967923827625834E+211</v>
      </c>
      <c r="WXS53" s="760">
        <f t="shared" si="288"/>
        <v>3.6016961542454609E+211</v>
      </c>
      <c r="WXT53" s="760">
        <f t="shared" si="288"/>
        <v>3.7097470388728247E+211</v>
      </c>
      <c r="WXU53" s="760">
        <f t="shared" si="288"/>
        <v>3.8210394500390097E+211</v>
      </c>
      <c r="WXV53" s="760">
        <f t="shared" si="288"/>
        <v>3.9356706335401801E+211</v>
      </c>
      <c r="WXW53" s="760">
        <f t="shared" si="288"/>
        <v>4.0537407525463854E+211</v>
      </c>
      <c r="WXX53" s="760">
        <f t="shared" si="288"/>
        <v>4.1753529751227771E+211</v>
      </c>
      <c r="WXY53" s="760">
        <f t="shared" si="288"/>
        <v>4.3006135643764603E+211</v>
      </c>
      <c r="WXZ53" s="760">
        <f t="shared" si="288"/>
        <v>4.4296319713077543E+211</v>
      </c>
      <c r="WYA53" s="760">
        <f t="shared" ref="WYA53:XAL53" si="289">+WXZ53*$C$53</f>
        <v>4.5625209304469867E+211</v>
      </c>
      <c r="WYB53" s="760">
        <f t="shared" si="289"/>
        <v>4.6993965583603965E+211</v>
      </c>
      <c r="WYC53" s="760">
        <f t="shared" si="289"/>
        <v>4.8403784551112082E+211</v>
      </c>
      <c r="WYD53" s="760">
        <f t="shared" si="289"/>
        <v>4.9855898087645444E+211</v>
      </c>
      <c r="WYE53" s="760">
        <f t="shared" si="289"/>
        <v>5.1351575030274813E+211</v>
      </c>
      <c r="WYF53" s="760">
        <f t="shared" si="289"/>
        <v>5.2892122281183063E+211</v>
      </c>
      <c r="WYG53" s="760">
        <f t="shared" si="289"/>
        <v>5.4478885949618556E+211</v>
      </c>
      <c r="WYH53" s="760">
        <f t="shared" si="289"/>
        <v>5.6113252528107116E+211</v>
      </c>
      <c r="WYI53" s="760">
        <f t="shared" si="289"/>
        <v>5.7796650103950332E+211</v>
      </c>
      <c r="WYJ53" s="760">
        <f t="shared" si="289"/>
        <v>5.9530549607068843E+211</v>
      </c>
      <c r="WYK53" s="760">
        <f t="shared" si="289"/>
        <v>6.1316466095280911E+211</v>
      </c>
      <c r="WYL53" s="760">
        <f t="shared" si="289"/>
        <v>6.3155960078139344E+211</v>
      </c>
      <c r="WYM53" s="760">
        <f t="shared" si="289"/>
        <v>6.505063888048353E+211</v>
      </c>
      <c r="WYN53" s="760">
        <f t="shared" si="289"/>
        <v>6.700215804689804E+211</v>
      </c>
      <c r="WYO53" s="760">
        <f t="shared" si="289"/>
        <v>6.9012222788304982E+211</v>
      </c>
      <c r="WYP53" s="760">
        <f t="shared" si="289"/>
        <v>7.1082589471954136E+211</v>
      </c>
      <c r="WYQ53" s="760">
        <f t="shared" si="289"/>
        <v>7.3215067156112759E+211</v>
      </c>
      <c r="WYR53" s="760">
        <f t="shared" si="289"/>
        <v>7.5411519170796141E+211</v>
      </c>
      <c r="WYS53" s="760">
        <f t="shared" si="289"/>
        <v>7.767386474592003E+211</v>
      </c>
      <c r="WYT53" s="760">
        <f t="shared" si="289"/>
        <v>8.0004080688297636E+211</v>
      </c>
      <c r="WYU53" s="760">
        <f t="shared" si="289"/>
        <v>8.2404203108946563E+211</v>
      </c>
      <c r="WYV53" s="760">
        <f t="shared" si="289"/>
        <v>8.4876329202214957E+211</v>
      </c>
      <c r="WYW53" s="760">
        <f t="shared" si="289"/>
        <v>8.7422619078281409E+211</v>
      </c>
      <c r="WYX53" s="760">
        <f t="shared" si="289"/>
        <v>9.0045297650629859E+211</v>
      </c>
      <c r="WYY53" s="760">
        <f t="shared" si="289"/>
        <v>9.2746656580148748E+211</v>
      </c>
      <c r="WYZ53" s="760">
        <f t="shared" si="289"/>
        <v>9.5529056277553222E+211</v>
      </c>
      <c r="WZA53" s="760">
        <f t="shared" si="289"/>
        <v>9.8394927965879827E+211</v>
      </c>
      <c r="WZB53" s="760">
        <f t="shared" si="289"/>
        <v>1.0134677580485623E+212</v>
      </c>
      <c r="WZC53" s="760">
        <f t="shared" si="289"/>
        <v>1.0438717907900193E+212</v>
      </c>
      <c r="WZD53" s="760">
        <f t="shared" si="289"/>
        <v>1.0751879445137199E+212</v>
      </c>
      <c r="WZE53" s="760">
        <f t="shared" si="289"/>
        <v>1.1074435828491315E+212</v>
      </c>
      <c r="WZF53" s="760">
        <f t="shared" si="289"/>
        <v>1.1406668903346055E+212</v>
      </c>
      <c r="WZG53" s="760">
        <f t="shared" si="289"/>
        <v>1.1748868970446436E+212</v>
      </c>
      <c r="WZH53" s="760">
        <f t="shared" si="289"/>
        <v>1.2101335039559829E+212</v>
      </c>
      <c r="WZI53" s="760">
        <f t="shared" si="289"/>
        <v>1.2464375090746625E+212</v>
      </c>
      <c r="WZJ53" s="760">
        <f t="shared" si="289"/>
        <v>1.2838306343469023E+212</v>
      </c>
      <c r="WZK53" s="760">
        <f t="shared" si="289"/>
        <v>1.3223455533773095E+212</v>
      </c>
      <c r="WZL53" s="760">
        <f t="shared" si="289"/>
        <v>1.3620159199786288E+212</v>
      </c>
      <c r="WZM53" s="760">
        <f t="shared" si="289"/>
        <v>1.4028763975779877E+212</v>
      </c>
      <c r="WZN53" s="760">
        <f t="shared" si="289"/>
        <v>1.4449626895053273E+212</v>
      </c>
      <c r="WZO53" s="760">
        <f t="shared" si="289"/>
        <v>1.4883115701904872E+212</v>
      </c>
      <c r="WZP53" s="760">
        <f t="shared" si="289"/>
        <v>1.5329609172962018E+212</v>
      </c>
      <c r="WZQ53" s="760">
        <f t="shared" si="289"/>
        <v>1.5789497448150878E+212</v>
      </c>
      <c r="WZR53" s="760">
        <f t="shared" si="289"/>
        <v>1.6263182371595406E+212</v>
      </c>
      <c r="WZS53" s="760">
        <f t="shared" si="289"/>
        <v>1.6751077842743268E+212</v>
      </c>
      <c r="WZT53" s="760">
        <f t="shared" si="289"/>
        <v>1.7253610178025568E+212</v>
      </c>
      <c r="WZU53" s="760">
        <f t="shared" si="289"/>
        <v>1.7771218483366334E+212</v>
      </c>
      <c r="WZV53" s="760">
        <f t="shared" si="289"/>
        <v>1.8304355037867326E+212</v>
      </c>
      <c r="WZW53" s="760">
        <f t="shared" si="289"/>
        <v>1.8853485689003346E+212</v>
      </c>
      <c r="WZX53" s="760">
        <f t="shared" si="289"/>
        <v>1.9419090259673447E+212</v>
      </c>
      <c r="WZY53" s="760">
        <f t="shared" si="289"/>
        <v>2.0001662967463649E+212</v>
      </c>
      <c r="WZZ53" s="760">
        <f t="shared" si="289"/>
        <v>2.060171285648756E+212</v>
      </c>
      <c r="XAA53" s="760">
        <f t="shared" si="289"/>
        <v>2.1219764242182187E+212</v>
      </c>
      <c r="XAB53" s="760">
        <f t="shared" si="289"/>
        <v>2.1856357169447654E+212</v>
      </c>
      <c r="XAC53" s="760">
        <f t="shared" si="289"/>
        <v>2.2512047884531084E+212</v>
      </c>
      <c r="XAD53" s="760">
        <f t="shared" si="289"/>
        <v>2.3187409321067017E+212</v>
      </c>
      <c r="XAE53" s="760">
        <f t="shared" si="289"/>
        <v>2.3883031600699027E+212</v>
      </c>
      <c r="XAF53" s="760">
        <f t="shared" si="289"/>
        <v>2.4599522548719998E+212</v>
      </c>
      <c r="XAG53" s="760">
        <f t="shared" si="289"/>
        <v>2.5337508225181597E+212</v>
      </c>
      <c r="XAH53" s="760">
        <f t="shared" si="289"/>
        <v>2.6097633471937045E+212</v>
      </c>
      <c r="XAI53" s="760">
        <f t="shared" si="289"/>
        <v>2.6880562476095159E+212</v>
      </c>
      <c r="XAJ53" s="760">
        <f t="shared" si="289"/>
        <v>2.7686979350378016E+212</v>
      </c>
      <c r="XAK53" s="760">
        <f t="shared" si="289"/>
        <v>2.8517588730889358E+212</v>
      </c>
      <c r="XAL53" s="760">
        <f t="shared" si="289"/>
        <v>2.9373116392816039E+212</v>
      </c>
      <c r="XAM53" s="760">
        <f t="shared" ref="XAM53:XCX53" si="290">+XAL53*$C$53</f>
        <v>3.0254309884600521E+212</v>
      </c>
      <c r="XAN53" s="760">
        <f t="shared" si="290"/>
        <v>3.1161939181138537E+212</v>
      </c>
      <c r="XAO53" s="760">
        <f t="shared" si="290"/>
        <v>3.2096797356572695E+212</v>
      </c>
      <c r="XAP53" s="760">
        <f t="shared" si="290"/>
        <v>3.3059701277269876E+212</v>
      </c>
      <c r="XAQ53" s="760">
        <f t="shared" si="290"/>
        <v>3.4051492315587974E+212</v>
      </c>
      <c r="XAR53" s="760">
        <f t="shared" si="290"/>
        <v>3.5073037085055614E+212</v>
      </c>
      <c r="XAS53" s="760">
        <f t="shared" si="290"/>
        <v>3.6125228197607285E+212</v>
      </c>
      <c r="XAT53" s="760">
        <f t="shared" si="290"/>
        <v>3.7208985043535504E+212</v>
      </c>
      <c r="XAU53" s="760">
        <f t="shared" si="290"/>
        <v>3.8325254594841566E+212</v>
      </c>
      <c r="XAV53" s="760">
        <f t="shared" si="290"/>
        <v>3.9475012232686816E+212</v>
      </c>
      <c r="XAW53" s="760">
        <f t="shared" si="290"/>
        <v>4.0659262599667422E+212</v>
      </c>
      <c r="XAX53" s="760">
        <f t="shared" si="290"/>
        <v>4.1879040477657443E+212</v>
      </c>
      <c r="XAY53" s="760">
        <f t="shared" si="290"/>
        <v>4.3135411691987167E+212</v>
      </c>
      <c r="XAZ53" s="760">
        <f t="shared" si="290"/>
        <v>4.4429474042746786E+212</v>
      </c>
      <c r="XBA53" s="760">
        <f t="shared" si="290"/>
        <v>4.5762358264029193E+212</v>
      </c>
      <c r="XBB53" s="760">
        <f t="shared" si="290"/>
        <v>4.7135229011950067E+212</v>
      </c>
      <c r="XBC53" s="760">
        <f t="shared" si="290"/>
        <v>4.8549285882308567E+212</v>
      </c>
      <c r="XBD53" s="760">
        <f t="shared" si="290"/>
        <v>5.0005764458777827E+212</v>
      </c>
      <c r="XBE53" s="760">
        <f t="shared" si="290"/>
        <v>5.1505937392541165E+212</v>
      </c>
      <c r="XBF53" s="760">
        <f t="shared" si="290"/>
        <v>5.3051115514317401E+212</v>
      </c>
      <c r="XBG53" s="760">
        <f t="shared" si="290"/>
        <v>5.4642648979746921E+212</v>
      </c>
      <c r="XBH53" s="760">
        <f t="shared" si="290"/>
        <v>5.628192844913933E+212</v>
      </c>
      <c r="XBI53" s="760">
        <f t="shared" si="290"/>
        <v>5.7970386302613508E+212</v>
      </c>
      <c r="XBJ53" s="760">
        <f t="shared" si="290"/>
        <v>5.9709497891691915E+212</v>
      </c>
      <c r="XBK53" s="760">
        <f t="shared" si="290"/>
        <v>6.1500782828442672E+212</v>
      </c>
      <c r="XBL53" s="760">
        <f t="shared" si="290"/>
        <v>6.3345806313295954E+212</v>
      </c>
      <c r="XBM53" s="760">
        <f t="shared" si="290"/>
        <v>6.5246180502694837E+212</v>
      </c>
      <c r="XBN53" s="760">
        <f t="shared" si="290"/>
        <v>6.7203565917775686E+212</v>
      </c>
      <c r="XBO53" s="760">
        <f t="shared" si="290"/>
        <v>6.9219672895308961E+212</v>
      </c>
      <c r="XBP53" s="760">
        <f t="shared" si="290"/>
        <v>7.129626308216823E+212</v>
      </c>
      <c r="XBQ53" s="760">
        <f t="shared" si="290"/>
        <v>7.3435150974633285E+212</v>
      </c>
      <c r="XBR53" s="760">
        <f t="shared" si="290"/>
        <v>7.5638205503872287E+212</v>
      </c>
      <c r="XBS53" s="760">
        <f t="shared" si="290"/>
        <v>7.7907351668988452E+212</v>
      </c>
      <c r="XBT53" s="760">
        <f t="shared" si="290"/>
        <v>8.0244572219058111E+212</v>
      </c>
      <c r="XBU53" s="760">
        <f t="shared" si="290"/>
        <v>8.2651909385629856E+212</v>
      </c>
      <c r="XBV53" s="760">
        <f t="shared" si="290"/>
        <v>8.5131466667198756E+212</v>
      </c>
      <c r="XBW53" s="760">
        <f t="shared" si="290"/>
        <v>8.7685410667214719E+212</v>
      </c>
      <c r="XBX53" s="760">
        <f t="shared" si="290"/>
        <v>9.0315972987231165E+212</v>
      </c>
      <c r="XBY53" s="760">
        <f t="shared" si="290"/>
        <v>9.30254521768481E+212</v>
      </c>
      <c r="XBZ53" s="760">
        <f t="shared" si="290"/>
        <v>9.5816215742153541E+212</v>
      </c>
      <c r="XCA53" s="760">
        <f t="shared" si="290"/>
        <v>9.8690702214418151E+212</v>
      </c>
      <c r="XCB53" s="760">
        <f t="shared" si="290"/>
        <v>1.016514232808507E+213</v>
      </c>
      <c r="XCC53" s="760">
        <f t="shared" si="290"/>
        <v>1.0470096597927622E+213</v>
      </c>
      <c r="XCD53" s="760">
        <f t="shared" si="290"/>
        <v>1.0784199495865451E+213</v>
      </c>
      <c r="XCE53" s="760">
        <f t="shared" si="290"/>
        <v>1.1107725480741415E+213</v>
      </c>
      <c r="XCF53" s="760">
        <f t="shared" si="290"/>
        <v>1.1440957245163658E+213</v>
      </c>
      <c r="XCG53" s="760">
        <f t="shared" si="290"/>
        <v>1.1784185962518568E+213</v>
      </c>
      <c r="XCH53" s="760">
        <f t="shared" si="290"/>
        <v>1.2137711541394124E+213</v>
      </c>
      <c r="XCI53" s="760">
        <f t="shared" si="290"/>
        <v>1.2501842887635948E+213</v>
      </c>
      <c r="XCJ53" s="760">
        <f t="shared" si="290"/>
        <v>1.2876898174265027E+213</v>
      </c>
      <c r="XCK53" s="760">
        <f t="shared" si="290"/>
        <v>1.3263205119492977E+213</v>
      </c>
      <c r="XCL53" s="760">
        <f t="shared" si="290"/>
        <v>1.3661101273077765E+213</v>
      </c>
      <c r="XCM53" s="760">
        <f t="shared" si="290"/>
        <v>1.4070934311270099E+213</v>
      </c>
      <c r="XCN53" s="760">
        <f t="shared" si="290"/>
        <v>1.4493062340608202E+213</v>
      </c>
      <c r="XCO53" s="760">
        <f t="shared" si="290"/>
        <v>1.4927854210826448E+213</v>
      </c>
      <c r="XCP53" s="760">
        <f t="shared" si="290"/>
        <v>1.537568983715124E+213</v>
      </c>
      <c r="XCQ53" s="760">
        <f t="shared" si="290"/>
        <v>1.5836960532265779E+213</v>
      </c>
      <c r="XCR53" s="760">
        <f t="shared" si="290"/>
        <v>1.6312069348233751E+213</v>
      </c>
      <c r="XCS53" s="760">
        <f t="shared" si="290"/>
        <v>1.6801431428680764E+213</v>
      </c>
      <c r="XCT53" s="760">
        <f t="shared" si="290"/>
        <v>1.7305474371541187E+213</v>
      </c>
      <c r="XCU53" s="760">
        <f t="shared" si="290"/>
        <v>1.7824638602687423E+213</v>
      </c>
      <c r="XCV53" s="760">
        <f t="shared" si="290"/>
        <v>1.8359377760768047E+213</v>
      </c>
      <c r="XCW53" s="760">
        <f t="shared" si="290"/>
        <v>1.8910159093591088E+213</v>
      </c>
      <c r="XCX53" s="760">
        <f t="shared" si="290"/>
        <v>1.9477463866398821E+213</v>
      </c>
      <c r="XCY53" s="760">
        <f t="shared" ref="XCY53:XFD53" si="291">+XCX53*$C$53</f>
        <v>2.0061787782390786E+213</v>
      </c>
      <c r="XCZ53" s="760">
        <f t="shared" si="291"/>
        <v>2.0663641415862511E+213</v>
      </c>
      <c r="XDA53" s="760">
        <f t="shared" si="291"/>
        <v>2.1283550658338388E+213</v>
      </c>
      <c r="XDB53" s="760">
        <f t="shared" si="291"/>
        <v>2.192205717808854E+213</v>
      </c>
      <c r="XDC53" s="760">
        <f t="shared" si="291"/>
        <v>2.2579718893431197E+213</v>
      </c>
      <c r="XDD53" s="760">
        <f t="shared" si="291"/>
        <v>2.3257110460234135E+213</v>
      </c>
      <c r="XDE53" s="760">
        <f t="shared" si="291"/>
        <v>2.3954823774041161E+213</v>
      </c>
      <c r="XDF53" s="760">
        <f t="shared" si="291"/>
        <v>2.4673468487262397E+213</v>
      </c>
      <c r="XDG53" s="760">
        <f t="shared" si="291"/>
        <v>2.541367254188027E+213</v>
      </c>
      <c r="XDH53" s="760">
        <f t="shared" si="291"/>
        <v>2.6176082718136679E+213</v>
      </c>
      <c r="XDI53" s="760">
        <f t="shared" si="291"/>
        <v>2.6961365199680782E+213</v>
      </c>
      <c r="XDJ53" s="760">
        <f t="shared" si="291"/>
        <v>2.7770206155671204E+213</v>
      </c>
      <c r="XDK53" s="760">
        <f t="shared" si="291"/>
        <v>2.8603312340341342E+213</v>
      </c>
      <c r="XDL53" s="760">
        <f t="shared" si="291"/>
        <v>2.9461411710551581E+213</v>
      </c>
      <c r="XDM53" s="760">
        <f t="shared" si="291"/>
        <v>3.0345254061868132E+213</v>
      </c>
      <c r="XDN53" s="760">
        <f t="shared" si="291"/>
        <v>3.1255611683724174E+213</v>
      </c>
      <c r="XDO53" s="760">
        <f t="shared" si="291"/>
        <v>3.2193280034235899E+213</v>
      </c>
      <c r="XDP53" s="760">
        <f t="shared" si="291"/>
        <v>3.3159078435262975E+213</v>
      </c>
      <c r="XDQ53" s="760">
        <f t="shared" si="291"/>
        <v>3.4153850788320866E+213</v>
      </c>
      <c r="XDR53" s="760">
        <f t="shared" si="291"/>
        <v>3.5178466311970493E+213</v>
      </c>
      <c r="XDS53" s="760">
        <f t="shared" si="291"/>
        <v>3.6233820301329608E+213</v>
      </c>
      <c r="XDT53" s="760">
        <f t="shared" si="291"/>
        <v>3.7320834910369495E+213</v>
      </c>
      <c r="XDU53" s="760">
        <f t="shared" si="291"/>
        <v>3.8440459957680581E+213</v>
      </c>
      <c r="XDV53" s="760">
        <f t="shared" si="291"/>
        <v>3.9593673756410997E+213</v>
      </c>
      <c r="XDW53" s="760">
        <f t="shared" si="291"/>
        <v>4.0781483969103328E+213</v>
      </c>
      <c r="XDX53" s="760">
        <f t="shared" si="291"/>
        <v>4.2004928488176429E+213</v>
      </c>
      <c r="XDY53" s="760">
        <f t="shared" si="291"/>
        <v>4.3265076342821721E+213</v>
      </c>
      <c r="XDZ53" s="760">
        <f t="shared" si="291"/>
        <v>4.4563028633106374E+213</v>
      </c>
      <c r="XEA53" s="760">
        <f t="shared" si="291"/>
        <v>4.5899919492099566E+213</v>
      </c>
      <c r="XEB53" s="760">
        <f t="shared" si="291"/>
        <v>4.7276917076862556E+213</v>
      </c>
      <c r="XEC53" s="760">
        <f t="shared" si="291"/>
        <v>4.8695224589168435E+213</v>
      </c>
      <c r="XED53" s="760">
        <f t="shared" si="291"/>
        <v>5.0156081326843491E+213</v>
      </c>
      <c r="XEE53" s="760">
        <f t="shared" si="291"/>
        <v>5.1660763766648797E+213</v>
      </c>
      <c r="XEF53" s="760">
        <f t="shared" si="291"/>
        <v>5.321058667964826E+213</v>
      </c>
      <c r="XEG53" s="760">
        <f t="shared" si="291"/>
        <v>5.4806904280037712E+213</v>
      </c>
      <c r="XEH53" s="760">
        <f t="shared" si="291"/>
        <v>5.6451111408438849E+213</v>
      </c>
      <c r="XEI53" s="760">
        <f t="shared" si="291"/>
        <v>5.8144644750692022E+213</v>
      </c>
      <c r="XEJ53" s="760">
        <f t="shared" si="291"/>
        <v>5.9888984093212789E+213</v>
      </c>
      <c r="XEK53" s="760">
        <f t="shared" si="291"/>
        <v>6.1685653616009175E+213</v>
      </c>
      <c r="XEL53" s="760">
        <f t="shared" si="291"/>
        <v>6.3536223224489448E+213</v>
      </c>
      <c r="XEM53" s="760">
        <f t="shared" si="291"/>
        <v>6.5442309921224135E+213</v>
      </c>
      <c r="XEN53" s="760">
        <f t="shared" si="291"/>
        <v>6.7405579218860865E+213</v>
      </c>
      <c r="XEO53" s="760">
        <f t="shared" si="291"/>
        <v>6.9427746595426692E+213</v>
      </c>
      <c r="XEP53" s="760">
        <f t="shared" si="291"/>
        <v>7.1510578993289498E+213</v>
      </c>
      <c r="XEQ53" s="760">
        <f t="shared" si="291"/>
        <v>7.365589636308818E+213</v>
      </c>
      <c r="XER53" s="760">
        <f t="shared" si="291"/>
        <v>7.5865573253980831E+213</v>
      </c>
      <c r="XES53" s="760">
        <f t="shared" si="291"/>
        <v>7.8141540451600262E+213</v>
      </c>
      <c r="XET53" s="760">
        <f t="shared" si="291"/>
        <v>8.0485786665148266E+213</v>
      </c>
      <c r="XEU53" s="760">
        <f t="shared" si="291"/>
        <v>8.2900360265102712E+213</v>
      </c>
      <c r="XEV53" s="760">
        <f t="shared" si="291"/>
        <v>8.5387371073055798E+213</v>
      </c>
      <c r="XEW53" s="760">
        <f t="shared" si="291"/>
        <v>8.7948992205247473E+213</v>
      </c>
      <c r="XEX53" s="760">
        <f t="shared" si="291"/>
        <v>9.0587461971404898E+213</v>
      </c>
      <c r="XEY53" s="760">
        <f t="shared" si="291"/>
        <v>9.3305085830547045E+213</v>
      </c>
      <c r="XEZ53" s="760">
        <f t="shared" si="291"/>
        <v>9.6104238405463455E+213</v>
      </c>
      <c r="XFA53" s="760">
        <f t="shared" si="291"/>
        <v>9.898736555762736E+213</v>
      </c>
      <c r="XFB53" s="760">
        <f t="shared" si="291"/>
        <v>1.0195698652435619E+214</v>
      </c>
      <c r="XFC53" s="760">
        <f t="shared" si="291"/>
        <v>1.0501569612008687E+214</v>
      </c>
      <c r="XFD53" s="760">
        <f t="shared" si="291"/>
        <v>1.0816616700368948E+214</v>
      </c>
    </row>
    <row r="54" spans="1:16384" s="762" customFormat="1">
      <c r="A54" s="762" t="s">
        <v>2062</v>
      </c>
      <c r="E54" s="762">
        <f>+MAX(0,E45-E53)</f>
        <v>19491.288607594906</v>
      </c>
      <c r="F54" s="762">
        <f t="shared" ref="F54:S54" si="292">+MAX(0,F45-F53)</f>
        <v>19295.675822784717</v>
      </c>
      <c r="G54" s="762">
        <f t="shared" si="292"/>
        <v>18934.226968354429</v>
      </c>
      <c r="H54" s="762">
        <f t="shared" si="292"/>
        <v>18397.176082313192</v>
      </c>
      <c r="I54" s="762">
        <f t="shared" si="292"/>
        <v>17674.3167427423</v>
      </c>
      <c r="J54" s="762">
        <f t="shared" si="292"/>
        <v>16754.98419715224</v>
      </c>
      <c r="K54" s="762">
        <f t="shared" si="292"/>
        <v>15628.036805356243</v>
      </c>
      <c r="L54" s="762">
        <f t="shared" si="292"/>
        <v>14281.836770319866</v>
      </c>
      <c r="M54" s="762">
        <f t="shared" si="292"/>
        <v>12704.230130510283</v>
      </c>
      <c r="N54" s="762">
        <f t="shared" si="292"/>
        <v>10882.52598630753</v>
      </c>
      <c r="O54" s="762">
        <f t="shared" si="292"/>
        <v>8803.4749320425308</v>
      </c>
      <c r="P54" s="762">
        <f t="shared" si="292"/>
        <v>6453.2466641867304</v>
      </c>
      <c r="Q54" s="762">
        <f t="shared" si="292"/>
        <v>3817.406735144039</v>
      </c>
      <c r="R54" s="762">
        <f>+MAX(0,R45-R53)</f>
        <v>880.89242099148942</v>
      </c>
      <c r="S54" s="762">
        <f t="shared" si="292"/>
        <v>0</v>
      </c>
    </row>
    <row r="55" spans="1:16384" s="2" customFormat="1">
      <c r="A55" s="762" t="s">
        <v>2742</v>
      </c>
      <c r="C55" s="761"/>
      <c r="E55" s="760">
        <f>+SUM(E53:E54)</f>
        <v>26991.288607594906</v>
      </c>
      <c r="F55" s="760">
        <f t="shared" ref="F55:S55" si="293">+SUM(F53:F54)</f>
        <v>27020.675822784717</v>
      </c>
      <c r="G55" s="760">
        <f t="shared" si="293"/>
        <v>26890.976968354429</v>
      </c>
      <c r="H55" s="760">
        <f t="shared" si="293"/>
        <v>26592.628582313191</v>
      </c>
      <c r="I55" s="760">
        <f t="shared" si="293"/>
        <v>26115.632817742298</v>
      </c>
      <c r="J55" s="760">
        <f t="shared" si="293"/>
        <v>25449.539754402242</v>
      </c>
      <c r="K55" s="760">
        <f t="shared" si="293"/>
        <v>24583.429029323743</v>
      </c>
      <c r="L55" s="760">
        <f t="shared" si="293"/>
        <v>23505.890761006391</v>
      </c>
      <c r="M55" s="760">
        <f t="shared" si="293"/>
        <v>22205.005740917404</v>
      </c>
      <c r="N55" s="760">
        <f t="shared" si="293"/>
        <v>20668.324865026865</v>
      </c>
      <c r="O55" s="760">
        <f t="shared" si="293"/>
        <v>18882.847777123447</v>
      </c>
      <c r="P55" s="760">
        <f t="shared" si="293"/>
        <v>16835.000694620074</v>
      </c>
      <c r="Q55" s="760">
        <f t="shared" si="293"/>
        <v>14510.613386490382</v>
      </c>
      <c r="R55" s="760">
        <f t="shared" si="293"/>
        <v>11894.895271878224</v>
      </c>
      <c r="S55" s="760">
        <f t="shared" si="293"/>
        <v>8972.4106067669345</v>
      </c>
    </row>
    <row r="56" spans="1:16384" s="2" customFormat="1" ht="12.75" customHeight="1">
      <c r="A56" s="762"/>
      <c r="C56" s="761"/>
      <c r="E56" s="760"/>
      <c r="F56" s="760"/>
      <c r="G56" s="760"/>
      <c r="H56" s="760"/>
      <c r="I56" s="760"/>
      <c r="J56" s="760"/>
      <c r="K56" s="760"/>
      <c r="L56" s="760"/>
      <c r="M56" s="760"/>
      <c r="N56" s="760"/>
      <c r="O56" s="760"/>
      <c r="P56" s="760"/>
      <c r="Q56" s="760"/>
      <c r="R56" s="760"/>
      <c r="S56" s="760"/>
    </row>
    <row r="57" spans="1:16384" s="762" customFormat="1">
      <c r="A57" s="762" t="s">
        <v>2743</v>
      </c>
      <c r="C57" s="766"/>
      <c r="E57" s="762">
        <f t="shared" ref="E57:S57" si="294">E45-E55</f>
        <v>0</v>
      </c>
      <c r="F57" s="762">
        <f t="shared" si="294"/>
        <v>0</v>
      </c>
      <c r="G57" s="762">
        <f t="shared" si="294"/>
        <v>0</v>
      </c>
      <c r="H57" s="762">
        <f t="shared" si="294"/>
        <v>0</v>
      </c>
      <c r="I57" s="762">
        <f t="shared" si="294"/>
        <v>0</v>
      </c>
      <c r="J57" s="762">
        <f t="shared" si="294"/>
        <v>0</v>
      </c>
      <c r="K57" s="762">
        <f t="shared" si="294"/>
        <v>0</v>
      </c>
      <c r="L57" s="762">
        <f t="shared" si="294"/>
        <v>0</v>
      </c>
      <c r="M57" s="762">
        <f t="shared" si="294"/>
        <v>0</v>
      </c>
      <c r="N57" s="762">
        <f t="shared" si="294"/>
        <v>0</v>
      </c>
      <c r="O57" s="762">
        <f t="shared" si="294"/>
        <v>0</v>
      </c>
      <c r="P57" s="762">
        <f t="shared" si="294"/>
        <v>0</v>
      </c>
      <c r="Q57" s="762">
        <f t="shared" si="294"/>
        <v>0</v>
      </c>
      <c r="R57" s="762">
        <f t="shared" si="294"/>
        <v>0</v>
      </c>
      <c r="S57" s="762">
        <f t="shared" si="294"/>
        <v>0</v>
      </c>
    </row>
    <row r="58" spans="1:16384" s="2" customFormat="1" ht="13" customHeight="1">
      <c r="C58" s="761"/>
      <c r="E58" s="760"/>
      <c r="F58" s="760"/>
      <c r="G58" s="760"/>
      <c r="H58" s="760"/>
      <c r="I58" s="760"/>
      <c r="J58" s="760"/>
      <c r="K58" s="760"/>
      <c r="L58" s="760"/>
      <c r="M58" s="760"/>
      <c r="N58" s="760"/>
      <c r="O58" s="760"/>
      <c r="P58" s="760"/>
      <c r="Q58" s="760"/>
      <c r="R58" s="760"/>
      <c r="S58" s="760"/>
    </row>
    <row r="59" spans="1:16384" s="762" customFormat="1">
      <c r="A59" s="762" t="s">
        <v>2744</v>
      </c>
      <c r="C59" s="759">
        <v>1</v>
      </c>
      <c r="E59" s="763">
        <f t="shared" ref="E59:S59" si="295">E57*$C$59</f>
        <v>0</v>
      </c>
      <c r="F59" s="762">
        <f t="shared" si="295"/>
        <v>0</v>
      </c>
      <c r="G59" s="762">
        <f t="shared" si="295"/>
        <v>0</v>
      </c>
      <c r="H59" s="762">
        <f t="shared" si="295"/>
        <v>0</v>
      </c>
      <c r="I59" s="762">
        <f t="shared" si="295"/>
        <v>0</v>
      </c>
      <c r="J59" s="762">
        <f t="shared" si="295"/>
        <v>0</v>
      </c>
      <c r="K59" s="762">
        <f t="shared" si="295"/>
        <v>0</v>
      </c>
      <c r="L59" s="762">
        <f t="shared" si="295"/>
        <v>0</v>
      </c>
      <c r="M59" s="762">
        <f t="shared" si="295"/>
        <v>0</v>
      </c>
      <c r="N59" s="762">
        <f t="shared" si="295"/>
        <v>0</v>
      </c>
      <c r="O59" s="762">
        <f t="shared" si="295"/>
        <v>0</v>
      </c>
      <c r="P59" s="762">
        <f t="shared" si="295"/>
        <v>0</v>
      </c>
      <c r="Q59" s="762">
        <f t="shared" si="295"/>
        <v>0</v>
      </c>
      <c r="R59" s="762">
        <f t="shared" si="295"/>
        <v>0</v>
      </c>
      <c r="S59" s="762">
        <f t="shared" si="295"/>
        <v>0</v>
      </c>
    </row>
    <row r="60" spans="1:16384" s="2" customFormat="1" ht="14.15" customHeight="1">
      <c r="C60" s="761"/>
      <c r="E60" s="760"/>
      <c r="F60" s="760"/>
      <c r="G60" s="760"/>
      <c r="H60" s="760"/>
      <c r="I60" s="760"/>
      <c r="J60" s="760"/>
      <c r="K60" s="760"/>
      <c r="L60" s="760"/>
      <c r="M60" s="760"/>
      <c r="N60" s="760"/>
      <c r="O60" s="760"/>
      <c r="P60" s="760"/>
      <c r="Q60" s="760"/>
      <c r="R60" s="760"/>
      <c r="S60" s="760"/>
    </row>
    <row r="61" spans="1:16384" s="2" customFormat="1">
      <c r="A61" s="2" t="s">
        <v>2745</v>
      </c>
      <c r="C61" s="759">
        <v>1</v>
      </c>
      <c r="E61" s="760"/>
      <c r="F61" s="760"/>
      <c r="G61" s="760"/>
      <c r="H61" s="760"/>
      <c r="I61" s="760"/>
      <c r="J61" s="760"/>
      <c r="K61" s="760"/>
      <c r="L61" s="760"/>
      <c r="M61" s="760"/>
      <c r="N61" s="760"/>
      <c r="O61" s="760"/>
      <c r="P61" s="760"/>
      <c r="Q61" s="760"/>
      <c r="R61" s="760"/>
      <c r="S61" s="760"/>
    </row>
    <row r="62" spans="1:16384" s="760" customFormat="1">
      <c r="A62" s="764" t="s">
        <v>1360</v>
      </c>
      <c r="B62" s="764"/>
      <c r="C62" s="767"/>
      <c r="E62" s="763">
        <f>$E57*$C$61</f>
        <v>0</v>
      </c>
      <c r="F62" s="760">
        <f t="shared" ref="F62:S62" si="296">F57*$C$61</f>
        <v>0</v>
      </c>
      <c r="G62" s="760">
        <f t="shared" si="296"/>
        <v>0</v>
      </c>
      <c r="H62" s="760">
        <f t="shared" si="296"/>
        <v>0</v>
      </c>
      <c r="I62" s="760">
        <f t="shared" si="296"/>
        <v>0</v>
      </c>
      <c r="J62" s="760">
        <f t="shared" si="296"/>
        <v>0</v>
      </c>
      <c r="K62" s="760">
        <f t="shared" si="296"/>
        <v>0</v>
      </c>
      <c r="L62" s="760">
        <f t="shared" si="296"/>
        <v>0</v>
      </c>
      <c r="M62" s="760">
        <f t="shared" si="296"/>
        <v>0</v>
      </c>
      <c r="N62" s="760">
        <f t="shared" si="296"/>
        <v>0</v>
      </c>
      <c r="O62" s="760">
        <f t="shared" si="296"/>
        <v>0</v>
      </c>
      <c r="P62" s="760">
        <f t="shared" si="296"/>
        <v>0</v>
      </c>
      <c r="Q62" s="760">
        <f t="shared" si="296"/>
        <v>0</v>
      </c>
      <c r="R62" s="760">
        <f t="shared" si="296"/>
        <v>0</v>
      </c>
      <c r="S62" s="760">
        <f t="shared" si="296"/>
        <v>0</v>
      </c>
    </row>
    <row r="63" spans="1:16384" s="760" customFormat="1">
      <c r="A63" s="764" t="s">
        <v>1452</v>
      </c>
      <c r="B63" s="764"/>
      <c r="C63" s="767"/>
      <c r="E63" s="763">
        <v>0</v>
      </c>
      <c r="F63" s="760">
        <f t="shared" ref="F63:S63" si="297">E63*$C$53</f>
        <v>0</v>
      </c>
      <c r="G63" s="760">
        <f t="shared" si="297"/>
        <v>0</v>
      </c>
      <c r="H63" s="760">
        <f t="shared" si="297"/>
        <v>0</v>
      </c>
      <c r="I63" s="760">
        <f t="shared" si="297"/>
        <v>0</v>
      </c>
      <c r="J63" s="760">
        <f t="shared" si="297"/>
        <v>0</v>
      </c>
      <c r="K63" s="760">
        <f t="shared" si="297"/>
        <v>0</v>
      </c>
      <c r="L63" s="760">
        <f t="shared" si="297"/>
        <v>0</v>
      </c>
      <c r="M63" s="760">
        <f t="shared" si="297"/>
        <v>0</v>
      </c>
      <c r="N63" s="760">
        <f t="shared" si="297"/>
        <v>0</v>
      </c>
      <c r="O63" s="760">
        <f t="shared" si="297"/>
        <v>0</v>
      </c>
      <c r="P63" s="760">
        <f t="shared" si="297"/>
        <v>0</v>
      </c>
      <c r="Q63" s="760">
        <f t="shared" si="297"/>
        <v>0</v>
      </c>
      <c r="R63" s="760">
        <f t="shared" si="297"/>
        <v>0</v>
      </c>
      <c r="S63" s="760">
        <f t="shared" si="297"/>
        <v>0</v>
      </c>
    </row>
    <row r="64" spans="1:16384" s="760" customFormat="1">
      <c r="A64" s="764" t="s">
        <v>1453</v>
      </c>
      <c r="B64" s="764"/>
      <c r="C64" s="767"/>
      <c r="E64" s="1216">
        <v>0</v>
      </c>
      <c r="F64" s="765">
        <f t="shared" ref="F64:S64" si="298">E64*$C$53</f>
        <v>0</v>
      </c>
      <c r="G64" s="765">
        <f t="shared" si="298"/>
        <v>0</v>
      </c>
      <c r="H64" s="765">
        <f t="shared" si="298"/>
        <v>0</v>
      </c>
      <c r="I64" s="765">
        <f t="shared" si="298"/>
        <v>0</v>
      </c>
      <c r="J64" s="765">
        <f t="shared" si="298"/>
        <v>0</v>
      </c>
      <c r="K64" s="765">
        <f t="shared" si="298"/>
        <v>0</v>
      </c>
      <c r="L64" s="765">
        <f t="shared" si="298"/>
        <v>0</v>
      </c>
      <c r="M64" s="765">
        <f t="shared" si="298"/>
        <v>0</v>
      </c>
      <c r="N64" s="765">
        <f t="shared" si="298"/>
        <v>0</v>
      </c>
      <c r="O64" s="765">
        <f t="shared" si="298"/>
        <v>0</v>
      </c>
      <c r="P64" s="765">
        <f t="shared" si="298"/>
        <v>0</v>
      </c>
      <c r="Q64" s="765">
        <f t="shared" si="298"/>
        <v>0</v>
      </c>
      <c r="R64" s="765">
        <f t="shared" si="298"/>
        <v>0</v>
      </c>
      <c r="S64" s="765">
        <f t="shared" si="298"/>
        <v>0</v>
      </c>
    </row>
    <row r="65" spans="1:19" s="760" customFormat="1">
      <c r="A65" s="762" t="s">
        <v>2742</v>
      </c>
      <c r="C65" s="767"/>
      <c r="E65" s="760">
        <f t="shared" ref="E65:S65" si="299">SUM(E62:E64)</f>
        <v>0</v>
      </c>
      <c r="F65" s="760">
        <f t="shared" si="299"/>
        <v>0</v>
      </c>
      <c r="G65" s="760">
        <f t="shared" si="299"/>
        <v>0</v>
      </c>
      <c r="H65" s="760">
        <f t="shared" si="299"/>
        <v>0</v>
      </c>
      <c r="I65" s="760">
        <f t="shared" si="299"/>
        <v>0</v>
      </c>
      <c r="J65" s="760">
        <f t="shared" si="299"/>
        <v>0</v>
      </c>
      <c r="K65" s="760">
        <f t="shared" si="299"/>
        <v>0</v>
      </c>
      <c r="L65" s="760">
        <f t="shared" si="299"/>
        <v>0</v>
      </c>
      <c r="M65" s="760">
        <f t="shared" si="299"/>
        <v>0</v>
      </c>
      <c r="N65" s="760">
        <f t="shared" si="299"/>
        <v>0</v>
      </c>
      <c r="O65" s="760">
        <f t="shared" si="299"/>
        <v>0</v>
      </c>
      <c r="P65" s="760">
        <f t="shared" si="299"/>
        <v>0</v>
      </c>
      <c r="Q65" s="760">
        <f t="shared" si="299"/>
        <v>0</v>
      </c>
      <c r="R65" s="760">
        <f t="shared" si="299"/>
        <v>0</v>
      </c>
      <c r="S65" s="760">
        <f t="shared" si="299"/>
        <v>0</v>
      </c>
    </row>
    <row r="66" spans="1:19" s="760" customFormat="1">
      <c r="A66" s="762"/>
      <c r="C66" s="767"/>
    </row>
    <row r="67" spans="1:19" s="760" customFormat="1">
      <c r="A67" s="762" t="s">
        <v>2746</v>
      </c>
      <c r="C67" s="767"/>
      <c r="E67" s="762">
        <f t="shared" ref="E67:S67" si="300">E57-E59-E65</f>
        <v>0</v>
      </c>
      <c r="F67" s="762">
        <f t="shared" si="300"/>
        <v>0</v>
      </c>
      <c r="G67" s="762">
        <f t="shared" si="300"/>
        <v>0</v>
      </c>
      <c r="H67" s="762">
        <f t="shared" si="300"/>
        <v>0</v>
      </c>
      <c r="I67" s="762">
        <f t="shared" si="300"/>
        <v>0</v>
      </c>
      <c r="J67" s="762">
        <f t="shared" si="300"/>
        <v>0</v>
      </c>
      <c r="K67" s="762">
        <f t="shared" si="300"/>
        <v>0</v>
      </c>
      <c r="L67" s="762">
        <f t="shared" si="300"/>
        <v>0</v>
      </c>
      <c r="M67" s="762">
        <f t="shared" si="300"/>
        <v>0</v>
      </c>
      <c r="N67" s="762">
        <f t="shared" si="300"/>
        <v>0</v>
      </c>
      <c r="O67" s="762">
        <f t="shared" si="300"/>
        <v>0</v>
      </c>
      <c r="P67" s="762">
        <f t="shared" si="300"/>
        <v>0</v>
      </c>
      <c r="Q67" s="762">
        <f t="shared" si="300"/>
        <v>0</v>
      </c>
      <c r="R67" s="762">
        <f t="shared" si="300"/>
        <v>0</v>
      </c>
      <c r="S67" s="762">
        <f t="shared" si="300"/>
        <v>0</v>
      </c>
    </row>
    <row r="68" spans="1:19" s="760" customFormat="1" ht="13">
      <c r="A68" s="378"/>
      <c r="C68" s="767"/>
    </row>
    <row r="69" spans="1:19" s="123" customFormat="1" ht="13">
      <c r="A69" s="378"/>
      <c r="B69" s="760"/>
      <c r="C69" s="767"/>
      <c r="D69" s="760"/>
      <c r="E69" s="760"/>
      <c r="F69" s="760"/>
      <c r="G69" s="760"/>
      <c r="H69" s="760"/>
      <c r="I69" s="760"/>
      <c r="J69" s="760"/>
      <c r="K69" s="760"/>
      <c r="L69" s="760"/>
      <c r="M69" s="760"/>
      <c r="N69" s="760"/>
      <c r="O69" s="760"/>
      <c r="P69" s="760"/>
      <c r="Q69" s="760"/>
      <c r="R69" s="760"/>
      <c r="S69" s="760"/>
    </row>
    <row r="70" spans="1:19" s="123" customFormat="1">
      <c r="A70" s="760" t="s">
        <v>2747</v>
      </c>
      <c r="B70" s="760"/>
      <c r="C70" s="767"/>
      <c r="D70" s="760"/>
      <c r="E70" s="760"/>
      <c r="F70" s="760"/>
      <c r="G70" s="760"/>
      <c r="H70" s="760"/>
      <c r="I70" s="760"/>
      <c r="J70" s="760"/>
      <c r="K70" s="760"/>
      <c r="L70" s="760"/>
      <c r="M70" s="760"/>
      <c r="N70" s="760"/>
      <c r="O70" s="760"/>
      <c r="P70" s="760"/>
      <c r="Q70" s="760"/>
      <c r="R70" s="760"/>
      <c r="S70" s="760"/>
    </row>
    <row r="71" spans="1:19" s="123" customFormat="1">
      <c r="A71" s="760"/>
      <c r="B71" s="760"/>
      <c r="C71" s="767"/>
      <c r="D71" s="760"/>
      <c r="E71" s="760"/>
      <c r="F71" s="760"/>
      <c r="G71" s="760"/>
      <c r="H71" s="760"/>
      <c r="I71" s="760"/>
      <c r="J71" s="760"/>
      <c r="K71" s="760"/>
      <c r="L71" s="760"/>
      <c r="M71" s="760"/>
      <c r="N71" s="760"/>
      <c r="O71" s="760"/>
      <c r="P71" s="760"/>
      <c r="Q71" s="760"/>
      <c r="R71" s="760"/>
      <c r="S71" s="760"/>
    </row>
    <row r="72" spans="1:19" s="139" customFormat="1" ht="30" customHeight="1">
      <c r="A72" s="2620" t="s">
        <v>2748</v>
      </c>
      <c r="B72" s="2620"/>
      <c r="C72" s="2620"/>
      <c r="D72" s="2620"/>
      <c r="E72" s="2620"/>
      <c r="F72" s="2620"/>
      <c r="G72" s="2620"/>
      <c r="H72" s="2620"/>
      <c r="I72" s="2620"/>
      <c r="J72" s="2620"/>
      <c r="K72" s="2620"/>
      <c r="L72" s="2620"/>
      <c r="M72" s="2620"/>
      <c r="N72" s="2620"/>
      <c r="O72" s="2620"/>
      <c r="P72" s="2620"/>
      <c r="Q72" s="2620"/>
      <c r="R72" s="2620"/>
      <c r="S72" s="2620"/>
    </row>
    <row r="73" spans="1:19"/>
    <row r="74" spans="1:19"/>
    <row r="75" spans="1:19"/>
    <row r="76" spans="1:19"/>
    <row r="77" spans="1:19"/>
    <row r="78" spans="1:19"/>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72:S72"/>
    <mergeCell ref="A52:C52"/>
  </mergeCells>
  <dataValidations count="1">
    <dataValidation type="list" allowBlank="1" showInputMessage="1" showErrorMessage="1" sqref="A52:B53 C5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194" t="s">
        <v>2749</v>
      </c>
    </row>
    <row r="2" spans="1:1" ht="15.5">
      <c r="A2" s="195"/>
    </row>
    <row r="3" spans="1:1" ht="15.5">
      <c r="A3" s="196" t="s">
        <v>2750</v>
      </c>
    </row>
    <row r="4" spans="1:1" ht="15.5">
      <c r="A4" s="196" t="s">
        <v>2751</v>
      </c>
    </row>
    <row r="5" spans="1:1" ht="15.5">
      <c r="A5" s="196" t="s">
        <v>2752</v>
      </c>
    </row>
    <row r="6" spans="1:1" ht="15.5">
      <c r="A6" s="196" t="s">
        <v>2753</v>
      </c>
    </row>
    <row r="7" spans="1:1" ht="15.5">
      <c r="A7" s="196" t="s">
        <v>2754</v>
      </c>
    </row>
    <row r="8" spans="1:1" ht="15.5">
      <c r="A8" s="220" t="s">
        <v>2755</v>
      </c>
    </row>
    <row r="9" spans="1:1" ht="15.5">
      <c r="A9" s="196" t="s">
        <v>2756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13" customWidth="1"/>
    <col min="2" max="4" width="14.7265625" style="113" customWidth="1"/>
    <col min="5" max="5" width="50.7265625" style="113" customWidth="1"/>
    <col min="6" max="253" width="9.1796875" style="113" customWidth="1"/>
    <col min="254" max="16384" width="9.1796875" style="113"/>
  </cols>
  <sheetData>
    <row r="1" spans="1:6" s="162" customFormat="1" ht="18" customHeight="1">
      <c r="A1" s="364" t="s">
        <v>2757</v>
      </c>
      <c r="D1" s="167"/>
    </row>
    <row r="2" spans="1:6" s="162" customFormat="1" ht="13">
      <c r="A2" s="146" t="s">
        <v>2758</v>
      </c>
      <c r="B2" s="148"/>
      <c r="C2" s="148"/>
      <c r="D2" s="145"/>
      <c r="E2" s="149"/>
      <c r="F2" s="148"/>
    </row>
    <row r="3" spans="1:6" s="225" customFormat="1" ht="80.25" customHeight="1">
      <c r="A3" s="164"/>
      <c r="B3" s="150" t="s">
        <v>2759</v>
      </c>
      <c r="C3" s="150" t="s">
        <v>2760</v>
      </c>
      <c r="D3" s="150" t="s">
        <v>2761</v>
      </c>
      <c r="E3" s="147" t="s">
        <v>2762</v>
      </c>
      <c r="F3" s="147"/>
    </row>
    <row r="4" spans="1:6" s="226" customFormat="1" ht="13">
      <c r="A4" s="151" t="s">
        <v>1775</v>
      </c>
      <c r="B4" s="151"/>
      <c r="C4" s="151"/>
      <c r="D4" s="151"/>
      <c r="E4" s="169"/>
      <c r="F4" s="151"/>
    </row>
    <row r="5" spans="1:6" s="226" customFormat="1">
      <c r="A5" s="237" t="s">
        <v>1776</v>
      </c>
      <c r="B5" s="153">
        <f>'Sources and Uses Budget'!$C4</f>
        <v>975794</v>
      </c>
      <c r="C5" s="153">
        <f>'Sources and Uses Budget'!$C4</f>
        <v>975794</v>
      </c>
      <c r="D5" s="157">
        <f>C5-B5</f>
        <v>0</v>
      </c>
      <c r="E5" s="155"/>
      <c r="F5" s="154"/>
    </row>
    <row r="6" spans="1:6" s="226" customFormat="1">
      <c r="A6" s="237" t="s">
        <v>691</v>
      </c>
      <c r="B6" s="153">
        <f>'Sources and Uses Budget'!$C5</f>
        <v>0</v>
      </c>
      <c r="C6" s="153">
        <f>'Sources and Uses Budget'!$C5</f>
        <v>0</v>
      </c>
      <c r="D6" s="157">
        <f t="shared" ref="D6:D77" si="0">C6-B6</f>
        <v>0</v>
      </c>
      <c r="E6" s="155"/>
      <c r="F6" s="154"/>
    </row>
    <row r="7" spans="1:6" s="226" customFormat="1">
      <c r="A7" s="237" t="s">
        <v>1777</v>
      </c>
      <c r="B7" s="153">
        <f>'Sources and Uses Budget'!$C6</f>
        <v>49999</v>
      </c>
      <c r="C7" s="153">
        <f>'Sources and Uses Budget'!$C6</f>
        <v>49999</v>
      </c>
      <c r="D7" s="157">
        <f t="shared" si="0"/>
        <v>0</v>
      </c>
      <c r="E7" s="155"/>
      <c r="F7" s="154"/>
    </row>
    <row r="8" spans="1:6" s="226" customFormat="1">
      <c r="A8" s="237" t="s">
        <v>1778</v>
      </c>
      <c r="B8" s="153">
        <f>'Sources and Uses Budget'!$C7</f>
        <v>0</v>
      </c>
      <c r="C8" s="153">
        <f>'Sources and Uses Budget'!$C7</f>
        <v>0</v>
      </c>
      <c r="D8" s="157">
        <f t="shared" si="0"/>
        <v>0</v>
      </c>
      <c r="E8" s="155"/>
      <c r="F8" s="154"/>
    </row>
    <row r="9" spans="1:6" s="226" customFormat="1">
      <c r="A9" s="238" t="s">
        <v>1779</v>
      </c>
      <c r="B9" s="157">
        <f>SUM(B5:B8)</f>
        <v>1025793</v>
      </c>
      <c r="C9" s="157">
        <f>SUM(C5:C8)</f>
        <v>1025793</v>
      </c>
      <c r="D9" s="157">
        <f t="shared" si="0"/>
        <v>0</v>
      </c>
      <c r="E9" s="155"/>
      <c r="F9" s="154"/>
    </row>
    <row r="10" spans="1:6" s="226" customFormat="1">
      <c r="A10" s="237" t="s">
        <v>1780</v>
      </c>
      <c r="B10" s="153">
        <f>'Sources and Uses Budget'!$C9</f>
        <v>0</v>
      </c>
      <c r="C10" s="153">
        <f>'Sources and Uses Budget'!$C9</f>
        <v>0</v>
      </c>
      <c r="D10" s="157">
        <f t="shared" si="0"/>
        <v>0</v>
      </c>
      <c r="E10" s="155"/>
      <c r="F10" s="154"/>
    </row>
    <row r="11" spans="1:6" s="226" customFormat="1">
      <c r="A11" s="237" t="s">
        <v>1781</v>
      </c>
      <c r="B11" s="153">
        <f>'Sources and Uses Budget'!$C10</f>
        <v>850000</v>
      </c>
      <c r="C11" s="153">
        <f>'Sources and Uses Budget'!$C10</f>
        <v>850000</v>
      </c>
      <c r="D11" s="157">
        <f t="shared" si="0"/>
        <v>0</v>
      </c>
      <c r="E11" s="155"/>
      <c r="F11" s="154"/>
    </row>
    <row r="12" spans="1:6" s="226" customFormat="1">
      <c r="A12" s="238" t="s">
        <v>1782</v>
      </c>
      <c r="B12" s="157">
        <f>SUM(B10:B11)</f>
        <v>850000</v>
      </c>
      <c r="C12" s="157">
        <f>SUM(C10:C11)</f>
        <v>850000</v>
      </c>
      <c r="D12" s="157">
        <f t="shared" si="0"/>
        <v>0</v>
      </c>
      <c r="E12" s="155"/>
      <c r="F12" s="154"/>
    </row>
    <row r="13" spans="1:6" s="226" customFormat="1">
      <c r="A13" s="238" t="s">
        <v>1783</v>
      </c>
      <c r="B13" s="157">
        <f>SUM(B9+B12)</f>
        <v>1875793</v>
      </c>
      <c r="C13" s="157">
        <f>SUM(C9+C12)</f>
        <v>1875793</v>
      </c>
      <c r="D13" s="157">
        <f t="shared" si="0"/>
        <v>0</v>
      </c>
      <c r="E13" s="155"/>
      <c r="F13" s="154"/>
    </row>
    <row r="14" spans="1:6" s="226" customFormat="1">
      <c r="A14" s="239" t="s">
        <v>1784</v>
      </c>
      <c r="B14" s="153">
        <f>'Sources and Uses Budget'!$C13</f>
        <v>0</v>
      </c>
      <c r="C14" s="153">
        <f>'Sources and Uses Budget'!$C13</f>
        <v>0</v>
      </c>
      <c r="D14" s="157">
        <f t="shared" si="0"/>
        <v>0</v>
      </c>
      <c r="E14" s="155"/>
      <c r="F14" s="154"/>
    </row>
    <row r="15" spans="1:6" s="226" customFormat="1" ht="23">
      <c r="A15" s="237" t="s">
        <v>1902</v>
      </c>
      <c r="B15" s="153">
        <f>'Sources and Uses Budget'!$C14</f>
        <v>0</v>
      </c>
      <c r="C15" s="153">
        <f>'Sources and Uses Budget'!$C14</f>
        <v>0</v>
      </c>
      <c r="D15" s="157">
        <f t="shared" si="0"/>
        <v>0</v>
      </c>
      <c r="E15" s="155"/>
      <c r="F15" s="154"/>
    </row>
    <row r="16" spans="1:6" s="226" customFormat="1">
      <c r="A16" s="237" t="s">
        <v>1786</v>
      </c>
      <c r="B16" s="153">
        <f>'Sources and Uses Budget'!$C15</f>
        <v>0</v>
      </c>
      <c r="C16" s="153">
        <f>'Sources and Uses Budget'!$C15</f>
        <v>0</v>
      </c>
      <c r="D16" s="157">
        <f t="shared" si="0"/>
        <v>0</v>
      </c>
      <c r="E16" s="155"/>
      <c r="F16" s="154"/>
    </row>
    <row r="17" spans="1:6" s="226" customFormat="1" ht="13">
      <c r="A17" s="151" t="s">
        <v>1787</v>
      </c>
      <c r="B17" s="151"/>
      <c r="C17" s="151"/>
      <c r="D17" s="151"/>
      <c r="E17" s="169"/>
      <c r="F17" s="151"/>
    </row>
    <row r="18" spans="1:6" s="226" customFormat="1">
      <c r="A18" s="170" t="s">
        <v>1788</v>
      </c>
      <c r="B18" s="153">
        <f>'Sources and Uses Budget'!$C17</f>
        <v>0</v>
      </c>
      <c r="C18" s="153">
        <f>'Sources and Uses Budget'!$C17</f>
        <v>0</v>
      </c>
      <c r="D18" s="157">
        <f t="shared" si="0"/>
        <v>0</v>
      </c>
      <c r="E18" s="155"/>
      <c r="F18" s="154"/>
    </row>
    <row r="19" spans="1:6" s="226" customFormat="1">
      <c r="A19" s="170" t="s">
        <v>1789</v>
      </c>
      <c r="B19" s="153">
        <f>'Sources and Uses Budget'!$C18</f>
        <v>0</v>
      </c>
      <c r="C19" s="153">
        <f>'Sources and Uses Budget'!$C18</f>
        <v>0</v>
      </c>
      <c r="D19" s="157">
        <f t="shared" si="0"/>
        <v>0</v>
      </c>
      <c r="E19" s="155"/>
      <c r="F19" s="154"/>
    </row>
    <row r="20" spans="1:6" s="226" customFormat="1">
      <c r="A20" s="170" t="s">
        <v>1790</v>
      </c>
      <c r="B20" s="153">
        <f>'Sources and Uses Budget'!$C19</f>
        <v>0</v>
      </c>
      <c r="C20" s="153">
        <f>'Sources and Uses Budget'!$C19</f>
        <v>0</v>
      </c>
      <c r="D20" s="157">
        <f t="shared" si="0"/>
        <v>0</v>
      </c>
      <c r="E20" s="155"/>
      <c r="F20" s="154"/>
    </row>
    <row r="21" spans="1:6" s="226" customFormat="1">
      <c r="A21" s="170" t="s">
        <v>1791</v>
      </c>
      <c r="B21" s="153">
        <f>'Sources and Uses Budget'!$C20</f>
        <v>0</v>
      </c>
      <c r="C21" s="153">
        <f>'Sources and Uses Budget'!$C20</f>
        <v>0</v>
      </c>
      <c r="D21" s="157">
        <f t="shared" si="0"/>
        <v>0</v>
      </c>
      <c r="E21" s="155"/>
      <c r="F21" s="154"/>
    </row>
    <row r="22" spans="1:6" s="226" customFormat="1">
      <c r="A22" s="170" t="s">
        <v>1792</v>
      </c>
      <c r="B22" s="153">
        <f>'Sources and Uses Budget'!$C21</f>
        <v>0</v>
      </c>
      <c r="C22" s="153">
        <f>'Sources and Uses Budget'!$C21</f>
        <v>0</v>
      </c>
      <c r="D22" s="157">
        <f t="shared" si="0"/>
        <v>0</v>
      </c>
      <c r="E22" s="155"/>
      <c r="F22" s="154"/>
    </row>
    <row r="23" spans="1:6" s="226" customFormat="1">
      <c r="A23" s="170" t="s">
        <v>1793</v>
      </c>
      <c r="B23" s="153">
        <f>'Sources and Uses Budget'!$C22</f>
        <v>0</v>
      </c>
      <c r="C23" s="153">
        <f>'Sources and Uses Budget'!$C22</f>
        <v>0</v>
      </c>
      <c r="D23" s="157">
        <f t="shared" si="0"/>
        <v>0</v>
      </c>
      <c r="E23" s="155"/>
      <c r="F23" s="154"/>
    </row>
    <row r="24" spans="1:6" s="226" customFormat="1">
      <c r="A24" s="170" t="s">
        <v>1794</v>
      </c>
      <c r="B24" s="153">
        <f>'Sources and Uses Budget'!$C23</f>
        <v>0</v>
      </c>
      <c r="C24" s="153">
        <f>'Sources and Uses Budget'!$C23</f>
        <v>0</v>
      </c>
      <c r="D24" s="157">
        <f t="shared" si="0"/>
        <v>0</v>
      </c>
      <c r="E24" s="155"/>
      <c r="F24" s="154"/>
    </row>
    <row r="25" spans="1:6" s="226" customFormat="1">
      <c r="A25" s="360" t="s">
        <v>1795</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ht="13">
      <c r="A27" s="803" t="s">
        <v>1797</v>
      </c>
      <c r="B27" s="157">
        <f>SUM(B18:B26)</f>
        <v>0</v>
      </c>
      <c r="C27" s="157">
        <f>SUM(C18:C26)</f>
        <v>0</v>
      </c>
      <c r="D27" s="157">
        <f>SUM(D18:D26)</f>
        <v>0</v>
      </c>
      <c r="E27" s="155"/>
      <c r="F27" s="154"/>
    </row>
    <row r="28" spans="1:6" s="226" customFormat="1" ht="13">
      <c r="A28" s="158" t="s">
        <v>1798</v>
      </c>
      <c r="B28" s="153">
        <f>'Sources and Uses Budget'!$C$27</f>
        <v>0</v>
      </c>
      <c r="C28" s="153">
        <f>'Sources and Uses Budget'!$C$27</f>
        <v>0</v>
      </c>
      <c r="D28" s="157">
        <f t="shared" si="0"/>
        <v>0</v>
      </c>
      <c r="E28" s="155"/>
      <c r="F28" s="154"/>
    </row>
    <row r="29" spans="1:6" s="226" customFormat="1" ht="13">
      <c r="A29" s="151" t="s">
        <v>1799</v>
      </c>
      <c r="B29" s="151"/>
      <c r="C29" s="151"/>
      <c r="D29" s="151"/>
      <c r="E29" s="169"/>
      <c r="F29" s="151"/>
    </row>
    <row r="30" spans="1:6" s="226" customFormat="1">
      <c r="A30" s="170" t="s">
        <v>1788</v>
      </c>
      <c r="B30" s="153">
        <f>'Sources and Uses Budget'!$C29</f>
        <v>1845072</v>
      </c>
      <c r="C30" s="153">
        <f>'Sources and Uses Budget'!$C29</f>
        <v>1845072</v>
      </c>
      <c r="D30" s="157">
        <f t="shared" si="0"/>
        <v>0</v>
      </c>
      <c r="E30" s="155"/>
      <c r="F30" s="154"/>
    </row>
    <row r="31" spans="1:6" s="226" customFormat="1">
      <c r="A31" s="170" t="s">
        <v>1789</v>
      </c>
      <c r="B31" s="153">
        <f>'Sources and Uses Budget'!$C30</f>
        <v>17665981</v>
      </c>
      <c r="C31" s="153">
        <f>'Sources and Uses Budget'!$C30</f>
        <v>17665981</v>
      </c>
      <c r="D31" s="157">
        <f t="shared" si="0"/>
        <v>0</v>
      </c>
      <c r="E31" s="155"/>
      <c r="F31" s="154"/>
    </row>
    <row r="32" spans="1:6" s="226" customFormat="1">
      <c r="A32" s="170" t="s">
        <v>1790</v>
      </c>
      <c r="B32" s="153">
        <f>'Sources and Uses Budget'!$C31</f>
        <v>1300000</v>
      </c>
      <c r="C32" s="153">
        <f>'Sources and Uses Budget'!$C31</f>
        <v>1300000</v>
      </c>
      <c r="D32" s="157">
        <f t="shared" si="0"/>
        <v>0</v>
      </c>
      <c r="E32" s="155"/>
      <c r="F32" s="154"/>
    </row>
    <row r="33" spans="1:6" s="226" customFormat="1">
      <c r="A33" s="170" t="s">
        <v>1791</v>
      </c>
      <c r="B33" s="153">
        <f>'Sources and Uses Budget'!$C32</f>
        <v>750000</v>
      </c>
      <c r="C33" s="153">
        <f>'Sources and Uses Budget'!$C32</f>
        <v>750000</v>
      </c>
      <c r="D33" s="157">
        <f t="shared" si="0"/>
        <v>0</v>
      </c>
      <c r="E33" s="155"/>
      <c r="F33" s="154"/>
    </row>
    <row r="34" spans="1:6" s="226" customFormat="1">
      <c r="A34" s="170" t="s">
        <v>1792</v>
      </c>
      <c r="B34" s="153">
        <f>'Sources and Uses Budget'!$C33</f>
        <v>750000</v>
      </c>
      <c r="C34" s="153">
        <f>'Sources and Uses Budget'!$C33</f>
        <v>750000</v>
      </c>
      <c r="D34" s="157">
        <f t="shared" si="0"/>
        <v>0</v>
      </c>
      <c r="E34" s="155"/>
      <c r="F34" s="154"/>
    </row>
    <row r="35" spans="1:6" s="226" customFormat="1">
      <c r="A35" s="170" t="s">
        <v>1793</v>
      </c>
      <c r="B35" s="153">
        <f>'Sources and Uses Budget'!$C34</f>
        <v>2000000</v>
      </c>
      <c r="C35" s="153">
        <f>'Sources and Uses Budget'!$C34</f>
        <v>2000000</v>
      </c>
      <c r="D35" s="157">
        <f t="shared" si="0"/>
        <v>0</v>
      </c>
      <c r="E35" s="155"/>
      <c r="F35" s="154"/>
    </row>
    <row r="36" spans="1:6" s="226" customFormat="1">
      <c r="A36" s="170" t="s">
        <v>1794</v>
      </c>
      <c r="B36" s="153">
        <f>'Sources and Uses Budget'!$C35</f>
        <v>150000</v>
      </c>
      <c r="C36" s="153">
        <f>'Sources and Uses Budget'!$C35</f>
        <v>150000</v>
      </c>
      <c r="D36" s="157">
        <f t="shared" si="0"/>
        <v>0</v>
      </c>
      <c r="E36" s="155"/>
      <c r="F36" s="154"/>
    </row>
    <row r="37" spans="1:6" s="226" customFormat="1">
      <c r="A37" s="170" t="s">
        <v>1795</v>
      </c>
      <c r="B37" s="153">
        <f>'Sources and Uses Budget'!$C36</f>
        <v>0</v>
      </c>
      <c r="C37" s="153">
        <f>'Sources and Uses Budget'!$C36</f>
        <v>0</v>
      </c>
      <c r="D37" s="157"/>
      <c r="E37" s="155"/>
      <c r="F37" s="154"/>
    </row>
    <row r="38" spans="1:6" s="226" customFormat="1">
      <c r="A38" s="360" t="str">
        <f>'Sources and Uses Budget'!A37</f>
        <v>Other: PhotoVoltaic System</v>
      </c>
      <c r="B38" s="153">
        <f>'Sources and Uses Budget'!$C37</f>
        <v>900000</v>
      </c>
      <c r="C38" s="153">
        <f>'Sources and Uses Budget'!$C37</f>
        <v>900000</v>
      </c>
      <c r="D38" s="157">
        <f t="shared" si="0"/>
        <v>0</v>
      </c>
      <c r="E38" s="155"/>
      <c r="F38" s="154"/>
    </row>
    <row r="39" spans="1:6" s="226" customFormat="1" ht="13">
      <c r="A39" s="158" t="s">
        <v>1801</v>
      </c>
      <c r="B39" s="157">
        <f>SUM(B30:B38)</f>
        <v>25361053</v>
      </c>
      <c r="C39" s="157">
        <f>SUM(C30:C38)</f>
        <v>25361053</v>
      </c>
      <c r="D39" s="157">
        <f t="shared" si="0"/>
        <v>0</v>
      </c>
      <c r="E39" s="155"/>
      <c r="F39" s="154"/>
    </row>
    <row r="40" spans="1:6" s="226" customFormat="1" ht="13">
      <c r="A40" s="151" t="s">
        <v>1802</v>
      </c>
      <c r="B40" s="151"/>
      <c r="C40" s="151"/>
      <c r="D40" s="151"/>
      <c r="E40" s="169"/>
      <c r="F40" s="151"/>
    </row>
    <row r="41" spans="1:6" s="226" customFormat="1">
      <c r="A41" s="156" t="s">
        <v>1803</v>
      </c>
      <c r="B41" s="153">
        <f>'Sources and Uses Budget'!$C40</f>
        <v>600000</v>
      </c>
      <c r="C41" s="153">
        <f>'Sources and Uses Budget'!$C40</f>
        <v>600000</v>
      </c>
      <c r="D41" s="157">
        <f t="shared" si="0"/>
        <v>0</v>
      </c>
      <c r="E41" s="155"/>
      <c r="F41" s="154"/>
    </row>
    <row r="42" spans="1:6" s="226" customFormat="1">
      <c r="A42" s="156" t="s">
        <v>1804</v>
      </c>
      <c r="B42" s="153">
        <f>'Sources and Uses Budget'!$C41</f>
        <v>0</v>
      </c>
      <c r="C42" s="153">
        <f>'Sources and Uses Budget'!$C41</f>
        <v>0</v>
      </c>
      <c r="D42" s="157">
        <f t="shared" si="0"/>
        <v>0</v>
      </c>
      <c r="E42" s="155"/>
      <c r="F42" s="154"/>
    </row>
    <row r="43" spans="1:6" s="226" customFormat="1" ht="13">
      <c r="A43" s="158" t="s">
        <v>1805</v>
      </c>
      <c r="B43" s="157">
        <f>SUM(B41:B42)</f>
        <v>600000</v>
      </c>
      <c r="C43" s="157">
        <f>SUM(C41:C42)</f>
        <v>600000</v>
      </c>
      <c r="D43" s="157">
        <f t="shared" si="0"/>
        <v>0</v>
      </c>
      <c r="E43" s="155"/>
      <c r="F43" s="154"/>
    </row>
    <row r="44" spans="1:6" s="226" customFormat="1" ht="13">
      <c r="A44" s="158" t="s">
        <v>1806</v>
      </c>
      <c r="B44" s="153">
        <f>'Sources and Uses Budget'!$C43</f>
        <v>200000</v>
      </c>
      <c r="C44" s="153">
        <f>'Sources and Uses Budget'!$C43</f>
        <v>200000</v>
      </c>
      <c r="D44" s="157">
        <f t="shared" si="0"/>
        <v>0</v>
      </c>
      <c r="E44" s="155"/>
      <c r="F44" s="154"/>
    </row>
    <row r="45" spans="1:6" s="226" customFormat="1" ht="12" customHeight="1">
      <c r="A45" s="151" t="s">
        <v>1807</v>
      </c>
      <c r="B45" s="151"/>
      <c r="C45" s="151"/>
      <c r="D45" s="151"/>
      <c r="E45" s="169"/>
      <c r="F45" s="151"/>
    </row>
    <row r="46" spans="1:6" s="226" customFormat="1">
      <c r="A46" s="170" t="s">
        <v>1808</v>
      </c>
      <c r="B46" s="153">
        <f>'Sources and Uses Budget'!$C45</f>
        <v>1448964</v>
      </c>
      <c r="C46" s="153">
        <f>'Sources and Uses Budget'!$C45</f>
        <v>1448964</v>
      </c>
      <c r="D46" s="157">
        <f t="shared" si="0"/>
        <v>0</v>
      </c>
      <c r="E46" s="155"/>
      <c r="F46" s="154"/>
    </row>
    <row r="47" spans="1:6" s="226" customFormat="1">
      <c r="A47" s="170" t="s">
        <v>1809</v>
      </c>
      <c r="B47" s="153">
        <f>'Sources and Uses Budget'!$C46</f>
        <v>204463</v>
      </c>
      <c r="C47" s="153">
        <f>'Sources and Uses Budget'!$C46</f>
        <v>204463</v>
      </c>
      <c r="D47" s="157">
        <f t="shared" si="0"/>
        <v>0</v>
      </c>
      <c r="E47" s="155"/>
      <c r="F47" s="154"/>
    </row>
    <row r="48" spans="1:6" s="226" customFormat="1" ht="12" customHeight="1">
      <c r="A48" s="1201" t="s">
        <v>1810</v>
      </c>
      <c r="B48" s="153">
        <f>'Sources and Uses Budget'!$C47</f>
        <v>0</v>
      </c>
      <c r="C48" s="153">
        <f>'Sources and Uses Budget'!$C47</f>
        <v>0</v>
      </c>
      <c r="D48" s="157">
        <f t="shared" si="0"/>
        <v>0</v>
      </c>
      <c r="E48" s="155"/>
      <c r="F48" s="154"/>
    </row>
    <row r="49" spans="1:6" s="226" customFormat="1">
      <c r="A49" s="170" t="s">
        <v>1811</v>
      </c>
      <c r="B49" s="153">
        <f>'Sources and Uses Budget'!$C48</f>
        <v>150000</v>
      </c>
      <c r="C49" s="153">
        <f>'Sources and Uses Budget'!$C48</f>
        <v>150000</v>
      </c>
      <c r="D49" s="157">
        <f t="shared" si="0"/>
        <v>0</v>
      </c>
      <c r="E49" s="155"/>
      <c r="F49" s="154"/>
    </row>
    <row r="50" spans="1:6" s="226" customFormat="1">
      <c r="A50" s="170" t="s">
        <v>1812</v>
      </c>
      <c r="B50" s="153">
        <f>'Sources and Uses Budget'!$C49</f>
        <v>196536</v>
      </c>
      <c r="C50" s="153">
        <f>'Sources and Uses Budget'!$C49</f>
        <v>196536</v>
      </c>
      <c r="D50" s="157">
        <f t="shared" si="0"/>
        <v>0</v>
      </c>
      <c r="E50" s="155"/>
      <c r="F50" s="154"/>
    </row>
    <row r="51" spans="1:6" s="226" customFormat="1">
      <c r="A51" s="170" t="s">
        <v>1813</v>
      </c>
      <c r="B51" s="153">
        <f>'Sources and Uses Budget'!$C50</f>
        <v>35000</v>
      </c>
      <c r="C51" s="153">
        <f>'Sources and Uses Budget'!$C50</f>
        <v>35000</v>
      </c>
      <c r="D51" s="157">
        <f t="shared" si="0"/>
        <v>0</v>
      </c>
      <c r="E51" s="155"/>
      <c r="F51" s="154"/>
    </row>
    <row r="52" spans="1:6" s="226" customFormat="1">
      <c r="A52" s="170" t="s">
        <v>1814</v>
      </c>
      <c r="B52" s="153">
        <f>'Sources and Uses Budget'!$C51</f>
        <v>8000</v>
      </c>
      <c r="C52" s="153">
        <f>'Sources and Uses Budget'!$C51</f>
        <v>8000</v>
      </c>
      <c r="D52" s="157">
        <f t="shared" si="0"/>
        <v>0</v>
      </c>
      <c r="E52" s="155"/>
      <c r="F52" s="154"/>
    </row>
    <row r="53" spans="1:6" s="226" customFormat="1">
      <c r="A53" s="170" t="s">
        <v>1815</v>
      </c>
      <c r="B53" s="153">
        <f>'Sources and Uses Budget'!$C52</f>
        <v>175000</v>
      </c>
      <c r="C53" s="153">
        <f>'Sources and Uses Budget'!$C52</f>
        <v>175000</v>
      </c>
      <c r="D53" s="157">
        <f t="shared" si="0"/>
        <v>0</v>
      </c>
      <c r="E53" s="155"/>
      <c r="F53" s="154"/>
    </row>
    <row r="54" spans="1:6" s="226" customFormat="1">
      <c r="A54" s="360" t="str">
        <f>'Sources and Uses Budget'!A53</f>
        <v>Other: (Accrued Interest)</v>
      </c>
      <c r="B54" s="153">
        <f>'Sources and Uses Budget'!$C53</f>
        <v>41392</v>
      </c>
      <c r="C54" s="153">
        <f>'Sources and Uses Budget'!$C53</f>
        <v>41392</v>
      </c>
      <c r="D54" s="157">
        <f t="shared" si="0"/>
        <v>0</v>
      </c>
      <c r="E54" s="155"/>
      <c r="F54" s="154"/>
    </row>
    <row r="55" spans="1:6" s="227" customFormat="1" ht="13">
      <c r="A55" s="158" t="s">
        <v>1817</v>
      </c>
      <c r="B55" s="160">
        <f>SUM(B46:B54)</f>
        <v>2259355</v>
      </c>
      <c r="C55" s="160">
        <f>SUM(C46:C54)</f>
        <v>2259355</v>
      </c>
      <c r="D55" s="157">
        <f t="shared" si="0"/>
        <v>0</v>
      </c>
      <c r="E55" s="155"/>
      <c r="F55" s="154"/>
    </row>
    <row r="56" spans="1:6" s="226" customFormat="1" ht="13">
      <c r="A56" s="151" t="s">
        <v>1354</v>
      </c>
      <c r="B56" s="151"/>
      <c r="C56" s="151"/>
      <c r="D56" s="151"/>
      <c r="E56" s="169"/>
      <c r="F56" s="151"/>
    </row>
    <row r="57" spans="1:6" s="226" customFormat="1">
      <c r="A57" s="156" t="s">
        <v>1818</v>
      </c>
      <c r="B57" s="153">
        <f>'Sources and Uses Budget'!$C56</f>
        <v>21150</v>
      </c>
      <c r="C57" s="153">
        <f>'Sources and Uses Budget'!$C56</f>
        <v>21150</v>
      </c>
      <c r="D57" s="157">
        <f t="shared" si="0"/>
        <v>0</v>
      </c>
      <c r="E57" s="155"/>
      <c r="F57" s="154"/>
    </row>
    <row r="58" spans="1:6" s="226" customFormat="1" ht="12" customHeight="1">
      <c r="A58" s="156" t="s">
        <v>1810</v>
      </c>
      <c r="B58" s="153">
        <f>'Sources and Uses Budget'!$C57</f>
        <v>0</v>
      </c>
      <c r="C58" s="153">
        <f>'Sources and Uses Budget'!$C57</f>
        <v>0</v>
      </c>
      <c r="D58" s="157">
        <f t="shared" si="0"/>
        <v>0</v>
      </c>
      <c r="E58" s="155"/>
      <c r="F58" s="154"/>
    </row>
    <row r="59" spans="1:6" s="226" customFormat="1">
      <c r="A59" s="156" t="s">
        <v>1813</v>
      </c>
      <c r="B59" s="153">
        <f>'Sources and Uses Budget'!$C58</f>
        <v>10000</v>
      </c>
      <c r="C59" s="153">
        <f>'Sources and Uses Budget'!$C58</f>
        <v>10000</v>
      </c>
      <c r="D59" s="157">
        <f t="shared" si="0"/>
        <v>0</v>
      </c>
      <c r="E59" s="155"/>
      <c r="F59" s="154"/>
    </row>
    <row r="60" spans="1:6" s="226" customFormat="1">
      <c r="A60" s="156" t="s">
        <v>1814</v>
      </c>
      <c r="B60" s="153">
        <f>'Sources and Uses Budget'!$C59</f>
        <v>0</v>
      </c>
      <c r="C60" s="153">
        <f>'Sources and Uses Budget'!$C59</f>
        <v>0</v>
      </c>
      <c r="D60" s="157">
        <f t="shared" si="0"/>
        <v>0</v>
      </c>
      <c r="E60" s="155"/>
      <c r="F60" s="154"/>
    </row>
    <row r="61" spans="1:6" s="226" customFormat="1">
      <c r="A61" s="156" t="s">
        <v>1815</v>
      </c>
      <c r="B61" s="153">
        <f>'Sources and Uses Budget'!$C60</f>
        <v>0</v>
      </c>
      <c r="C61" s="153">
        <f>'Sources and Uses Budget'!$C60</f>
        <v>0</v>
      </c>
      <c r="D61" s="157">
        <f t="shared" si="0"/>
        <v>0</v>
      </c>
      <c r="E61" s="155"/>
      <c r="F61" s="154"/>
    </row>
    <row r="62" spans="1:6" s="226" customFormat="1">
      <c r="A62" s="804" t="str">
        <f>'Sources and Uses Budget'!A61</f>
        <v>Other: (Specify)</v>
      </c>
      <c r="B62" s="153">
        <f>'Sources and Uses Budget'!$C61</f>
        <v>0</v>
      </c>
      <c r="C62" s="153">
        <f>'Sources and Uses Budget'!$C61</f>
        <v>0</v>
      </c>
      <c r="D62" s="157">
        <f t="shared" si="0"/>
        <v>0</v>
      </c>
      <c r="E62" s="155"/>
      <c r="F62" s="154"/>
    </row>
    <row r="63" spans="1:6" s="226" customFormat="1" ht="13.75" customHeight="1">
      <c r="A63" s="158" t="s">
        <v>1819</v>
      </c>
      <c r="B63" s="157">
        <f>SUM(B57:B62)</f>
        <v>31150</v>
      </c>
      <c r="C63" s="157">
        <f>SUM(C57:C62)</f>
        <v>31150</v>
      </c>
      <c r="D63" s="157">
        <f t="shared" si="0"/>
        <v>0</v>
      </c>
      <c r="E63" s="155"/>
      <c r="F63" s="154"/>
    </row>
    <row r="64" spans="1:6" s="226" customFormat="1" ht="13">
      <c r="A64" s="161" t="s">
        <v>1820</v>
      </c>
      <c r="B64" s="157">
        <f>SUM(B9+B12+B14+B15+B17+B26+B28+B39+B43+B44+B55+B63)</f>
        <v>30327351</v>
      </c>
      <c r="C64" s="157">
        <f>SUM(C9+C12+C14+C15+C17+C26+C28+C39+C43+C44+C55+C63)</f>
        <v>30327351</v>
      </c>
      <c r="D64" s="157">
        <f t="shared" si="0"/>
        <v>0</v>
      </c>
      <c r="E64" s="155"/>
      <c r="F64" s="154"/>
    </row>
    <row r="65" spans="1:6" s="226" customFormat="1" ht="24">
      <c r="A65" s="83" t="s">
        <v>1821</v>
      </c>
      <c r="B65" s="151"/>
      <c r="C65" s="151"/>
      <c r="D65" s="151"/>
      <c r="E65" s="169"/>
      <c r="F65" s="151"/>
    </row>
    <row r="66" spans="1:6" s="226" customFormat="1">
      <c r="A66" s="170" t="s">
        <v>1822</v>
      </c>
      <c r="B66" s="153">
        <f>'Sources and Uses Budget'!$C65</f>
        <v>80000</v>
      </c>
      <c r="C66" s="153">
        <f>'Sources and Uses Budget'!$C65</f>
        <v>80000</v>
      </c>
      <c r="D66" s="157">
        <f t="shared" si="0"/>
        <v>0</v>
      </c>
      <c r="E66" s="155"/>
      <c r="F66" s="154"/>
    </row>
    <row r="67" spans="1:6" s="226" customFormat="1" ht="23">
      <c r="A67" s="170" t="s">
        <v>1823</v>
      </c>
      <c r="B67" s="153">
        <f>'Sources and Uses Budget'!$C66</f>
        <v>0</v>
      </c>
      <c r="C67" s="153">
        <f>'Sources and Uses Budget'!$C66</f>
        <v>0</v>
      </c>
      <c r="D67" s="157"/>
      <c r="E67" s="155"/>
      <c r="F67" s="154"/>
    </row>
    <row r="68" spans="1:6" s="226" customFormat="1" ht="23">
      <c r="A68" s="170" t="s">
        <v>1824</v>
      </c>
      <c r="B68" s="153">
        <f>'Sources and Uses Budget'!$C67</f>
        <v>0</v>
      </c>
      <c r="C68" s="153">
        <f>'Sources and Uses Budget'!$C67</f>
        <v>0</v>
      </c>
      <c r="D68" s="157"/>
      <c r="E68" s="155"/>
      <c r="F68" s="154"/>
    </row>
    <row r="69" spans="1:6" s="226" customFormat="1">
      <c r="A69" s="170" t="s">
        <v>1825</v>
      </c>
      <c r="B69" s="153">
        <f>'Sources and Uses Budget'!$C68</f>
        <v>0</v>
      </c>
      <c r="C69" s="153">
        <f>'Sources and Uses Budget'!$C68</f>
        <v>0</v>
      </c>
      <c r="D69" s="157"/>
      <c r="E69" s="155"/>
      <c r="F69" s="154"/>
    </row>
    <row r="70" spans="1:6" s="226" customFormat="1">
      <c r="A70" s="360" t="str">
        <f>'Sources and Uses Budget'!A69</f>
        <v>Other: (Owner Legal)</v>
      </c>
      <c r="B70" s="153">
        <f>'Sources and Uses Budget'!$C69</f>
        <v>65000</v>
      </c>
      <c r="C70" s="153">
        <f>'Sources and Uses Budget'!$C69</f>
        <v>65000</v>
      </c>
      <c r="D70" s="157">
        <f t="shared" si="0"/>
        <v>0</v>
      </c>
      <c r="E70" s="155"/>
      <c r="F70" s="154"/>
    </row>
    <row r="71" spans="1:6" s="226" customFormat="1">
      <c r="A71" s="85" t="s">
        <v>1827</v>
      </c>
      <c r="B71" s="157">
        <f>SUM(B66:B70)</f>
        <v>145000</v>
      </c>
      <c r="C71" s="157">
        <f>SUM(C66:C70)</f>
        <v>145000</v>
      </c>
      <c r="D71" s="157">
        <f t="shared" si="0"/>
        <v>0</v>
      </c>
      <c r="E71" s="155"/>
      <c r="F71" s="154"/>
    </row>
    <row r="72" spans="1:6" s="226" customFormat="1" ht="13">
      <c r="A72" s="151" t="s">
        <v>1828</v>
      </c>
      <c r="B72" s="151"/>
      <c r="C72" s="151"/>
      <c r="D72" s="151"/>
      <c r="E72" s="169"/>
      <c r="F72" s="151"/>
    </row>
    <row r="73" spans="1:6" s="226" customFormat="1">
      <c r="A73" s="156" t="s">
        <v>1829</v>
      </c>
      <c r="B73" s="153">
        <f>'Sources and Uses Budget'!$C72</f>
        <v>0</v>
      </c>
      <c r="C73" s="153">
        <f>'Sources and Uses Budget'!$C72</f>
        <v>0</v>
      </c>
      <c r="D73" s="157">
        <f t="shared" si="0"/>
        <v>0</v>
      </c>
      <c r="E73" s="155"/>
      <c r="F73" s="154"/>
    </row>
    <row r="74" spans="1:6" s="226" customFormat="1">
      <c r="A74" s="156" t="s">
        <v>1830</v>
      </c>
      <c r="B74" s="153">
        <f>'Sources and Uses Budget'!$C73</f>
        <v>0</v>
      </c>
      <c r="C74" s="153">
        <f>'Sources and Uses Budget'!$C73</f>
        <v>0</v>
      </c>
      <c r="D74" s="157">
        <f t="shared" si="0"/>
        <v>0</v>
      </c>
      <c r="E74" s="155"/>
      <c r="F74" s="154"/>
    </row>
    <row r="75" spans="1:6" s="226" customFormat="1">
      <c r="A75" s="172" t="s">
        <v>1831</v>
      </c>
      <c r="B75" s="153">
        <f>'Sources and Uses Budget'!$C74</f>
        <v>0</v>
      </c>
      <c r="C75" s="153">
        <f>'Sources and Uses Budget'!$C74</f>
        <v>0</v>
      </c>
      <c r="D75" s="157">
        <f t="shared" si="0"/>
        <v>0</v>
      </c>
      <c r="E75" s="155"/>
      <c r="F75" s="154"/>
    </row>
    <row r="76" spans="1:6" s="226" customFormat="1">
      <c r="A76" s="156" t="s">
        <v>1832</v>
      </c>
      <c r="B76" s="153">
        <f>'Sources and Uses Budget'!$C75</f>
        <v>154850</v>
      </c>
      <c r="C76" s="153">
        <f>'Sources and Uses Budget'!$C75</f>
        <v>154850</v>
      </c>
      <c r="D76" s="157">
        <f t="shared" si="0"/>
        <v>0</v>
      </c>
      <c r="E76" s="155"/>
      <c r="F76" s="154"/>
    </row>
    <row r="77" spans="1:6" s="226" customFormat="1">
      <c r="A77" s="159" t="s">
        <v>1796</v>
      </c>
      <c r="B77" s="153">
        <f>'Sources and Uses Budget'!$C76</f>
        <v>0</v>
      </c>
      <c r="C77" s="153">
        <f>'Sources and Uses Budget'!$C76</f>
        <v>0</v>
      </c>
      <c r="D77" s="157">
        <f t="shared" si="0"/>
        <v>0</v>
      </c>
      <c r="E77" s="155"/>
      <c r="F77" s="154"/>
    </row>
    <row r="78" spans="1:6" s="226" customFormat="1" ht="13">
      <c r="A78" s="158" t="s">
        <v>1833</v>
      </c>
      <c r="B78" s="157">
        <f>SUM(B73:B77)</f>
        <v>154850</v>
      </c>
      <c r="C78" s="157">
        <f>SUM(C73:C77)</f>
        <v>154850</v>
      </c>
      <c r="D78" s="157">
        <f t="shared" ref="D78:D106" si="1">C78-B78</f>
        <v>0</v>
      </c>
      <c r="E78" s="155"/>
      <c r="F78" s="154"/>
    </row>
    <row r="79" spans="1:6" s="226" customFormat="1" ht="13">
      <c r="A79" s="151" t="s">
        <v>1834</v>
      </c>
      <c r="B79" s="151"/>
      <c r="C79" s="151"/>
      <c r="D79" s="151"/>
      <c r="E79" s="169"/>
      <c r="F79" s="151"/>
    </row>
    <row r="80" spans="1:6" s="226" customFormat="1">
      <c r="A80" s="361" t="s">
        <v>1835</v>
      </c>
      <c r="B80" s="153">
        <f>'Sources and Uses Budget'!$C79</f>
        <v>1845274</v>
      </c>
      <c r="C80" s="153">
        <f>'Sources and Uses Budget'!$C79</f>
        <v>1845274</v>
      </c>
      <c r="D80" s="157">
        <f t="shared" si="1"/>
        <v>0</v>
      </c>
      <c r="E80" s="155"/>
      <c r="F80" s="154"/>
    </row>
    <row r="81" spans="1:6" s="226" customFormat="1">
      <c r="A81" s="361" t="s">
        <v>1836</v>
      </c>
      <c r="B81" s="153">
        <f>'Sources and Uses Budget'!$C80</f>
        <v>127321</v>
      </c>
      <c r="C81" s="153">
        <f>'Sources and Uses Budget'!$C80</f>
        <v>127321</v>
      </c>
      <c r="D81" s="157">
        <f>C81-B81</f>
        <v>0</v>
      </c>
      <c r="E81" s="155"/>
      <c r="F81" s="154"/>
    </row>
    <row r="82" spans="1:6" s="226" customFormat="1" ht="13">
      <c r="A82" s="158" t="s">
        <v>1837</v>
      </c>
      <c r="B82" s="157">
        <f>SUM(B80:B81)</f>
        <v>1972595</v>
      </c>
      <c r="C82" s="157">
        <f>SUM(C80:C81)</f>
        <v>1972595</v>
      </c>
      <c r="D82" s="157">
        <f t="shared" si="1"/>
        <v>0</v>
      </c>
      <c r="E82" s="155"/>
      <c r="F82" s="154"/>
    </row>
    <row r="83" spans="1:6" s="226" customFormat="1" ht="13">
      <c r="A83" s="151" t="s">
        <v>1838</v>
      </c>
      <c r="B83" s="151"/>
      <c r="C83" s="151"/>
      <c r="D83" s="151"/>
      <c r="E83" s="169"/>
      <c r="F83" s="151"/>
    </row>
    <row r="84" spans="1:6" s="226" customFormat="1" ht="13.75" customHeight="1">
      <c r="A84" s="156" t="s">
        <v>2763</v>
      </c>
      <c r="B84" s="153">
        <f>'Sources and Uses Budget'!$C83</f>
        <v>71456</v>
      </c>
      <c r="C84" s="153">
        <f>'Sources and Uses Budget'!$C83</f>
        <v>71456</v>
      </c>
      <c r="D84" s="157">
        <f t="shared" si="1"/>
        <v>0</v>
      </c>
      <c r="E84" s="155"/>
      <c r="F84" s="154"/>
    </row>
    <row r="85" spans="1:6" s="226" customFormat="1">
      <c r="A85" s="156" t="s">
        <v>1840</v>
      </c>
      <c r="B85" s="153">
        <f>'Sources and Uses Budget'!$C84</f>
        <v>50000</v>
      </c>
      <c r="C85" s="153">
        <f>'Sources and Uses Budget'!$C84</f>
        <v>50000</v>
      </c>
      <c r="D85" s="157">
        <f t="shared" si="1"/>
        <v>0</v>
      </c>
      <c r="E85" s="155"/>
      <c r="F85" s="154"/>
    </row>
    <row r="86" spans="1:6" s="226" customFormat="1">
      <c r="A86" s="156" t="s">
        <v>1841</v>
      </c>
      <c r="B86" s="153">
        <f>'Sources and Uses Budget'!$C85</f>
        <v>809809</v>
      </c>
      <c r="C86" s="153">
        <f>'Sources and Uses Budget'!$C85</f>
        <v>809809</v>
      </c>
      <c r="D86" s="157">
        <f t="shared" si="1"/>
        <v>0</v>
      </c>
      <c r="E86" s="155"/>
      <c r="F86" s="154"/>
    </row>
    <row r="87" spans="1:6" s="226" customFormat="1">
      <c r="A87" s="156" t="s">
        <v>1842</v>
      </c>
      <c r="B87" s="153">
        <f>'Sources and Uses Budget'!$C86</f>
        <v>200000</v>
      </c>
      <c r="C87" s="153">
        <f>'Sources and Uses Budget'!$C86</f>
        <v>200000</v>
      </c>
      <c r="D87" s="157">
        <f t="shared" si="1"/>
        <v>0</v>
      </c>
      <c r="E87" s="155"/>
      <c r="F87" s="154"/>
    </row>
    <row r="88" spans="1:6" s="226" customFormat="1">
      <c r="A88" s="156" t="s">
        <v>1843</v>
      </c>
      <c r="B88" s="153">
        <f>'Sources and Uses Budget'!$C87</f>
        <v>0</v>
      </c>
      <c r="C88" s="153">
        <f>'Sources and Uses Budget'!$C87</f>
        <v>0</v>
      </c>
      <c r="D88" s="157">
        <f t="shared" si="1"/>
        <v>0</v>
      </c>
      <c r="E88" s="155"/>
      <c r="F88" s="154"/>
    </row>
    <row r="89" spans="1:6" s="226" customFormat="1">
      <c r="A89" s="156" t="s">
        <v>1844</v>
      </c>
      <c r="B89" s="153">
        <f>'Sources and Uses Budget'!$C88</f>
        <v>40000</v>
      </c>
      <c r="C89" s="153">
        <f>'Sources and Uses Budget'!$C88</f>
        <v>40000</v>
      </c>
      <c r="D89" s="157">
        <f t="shared" si="1"/>
        <v>0</v>
      </c>
      <c r="E89" s="155"/>
      <c r="F89" s="154"/>
    </row>
    <row r="90" spans="1:6" s="226" customFormat="1">
      <c r="A90" s="156" t="s">
        <v>1845</v>
      </c>
      <c r="B90" s="153">
        <f>'Sources and Uses Budget'!$C89</f>
        <v>45000</v>
      </c>
      <c r="C90" s="153">
        <f>'Sources and Uses Budget'!$C89</f>
        <v>45000</v>
      </c>
      <c r="D90" s="157">
        <f t="shared" si="1"/>
        <v>0</v>
      </c>
      <c r="E90" s="155"/>
      <c r="F90" s="154"/>
    </row>
    <row r="91" spans="1:6" s="226" customFormat="1">
      <c r="A91" s="156" t="s">
        <v>1846</v>
      </c>
      <c r="B91" s="153">
        <f>'Sources and Uses Budget'!$C90</f>
        <v>10000</v>
      </c>
      <c r="C91" s="153">
        <f>'Sources and Uses Budget'!$C90</f>
        <v>10000</v>
      </c>
      <c r="D91" s="157">
        <f t="shared" si="1"/>
        <v>0</v>
      </c>
      <c r="E91" s="155"/>
      <c r="F91" s="154"/>
    </row>
    <row r="92" spans="1:6" s="226" customFormat="1">
      <c r="A92" s="156" t="s">
        <v>1847</v>
      </c>
      <c r="B92" s="153">
        <f>'Sources and Uses Budget'!$C91</f>
        <v>0</v>
      </c>
      <c r="C92" s="153">
        <f>'Sources and Uses Budget'!$C91</f>
        <v>0</v>
      </c>
      <c r="D92" s="157">
        <f t="shared" si="1"/>
        <v>0</v>
      </c>
      <c r="E92" s="155"/>
      <c r="F92" s="154"/>
    </row>
    <row r="93" spans="1:6" s="226" customFormat="1">
      <c r="A93" s="361" t="s">
        <v>1848</v>
      </c>
      <c r="B93" s="153">
        <f>'Sources and Uses Budget'!$C92</f>
        <v>10000</v>
      </c>
      <c r="C93" s="153">
        <f>'Sources and Uses Budget'!$C92</f>
        <v>10000</v>
      </c>
      <c r="D93" s="157">
        <f t="shared" si="1"/>
        <v>0</v>
      </c>
      <c r="E93" s="155"/>
      <c r="F93" s="154"/>
    </row>
    <row r="94" spans="1:6" s="226" customFormat="1">
      <c r="A94" s="159" t="s">
        <v>1796</v>
      </c>
      <c r="B94" s="153">
        <f>'Sources and Uses Budget'!$C93</f>
        <v>50000</v>
      </c>
      <c r="C94" s="153">
        <f>'Sources and Uses Budget'!$C93</f>
        <v>50000</v>
      </c>
      <c r="D94" s="157">
        <f t="shared" si="1"/>
        <v>0</v>
      </c>
      <c r="E94" s="155"/>
      <c r="F94" s="154"/>
    </row>
    <row r="95" spans="1:6" s="226" customFormat="1">
      <c r="A95" s="159" t="s">
        <v>1796</v>
      </c>
      <c r="B95" s="153">
        <f>'Sources and Uses Budget'!$C94</f>
        <v>0</v>
      </c>
      <c r="C95" s="153">
        <f>'Sources and Uses Budget'!$C94</f>
        <v>0</v>
      </c>
      <c r="D95" s="157">
        <f t="shared" si="1"/>
        <v>0</v>
      </c>
      <c r="E95" s="155"/>
      <c r="F95" s="154"/>
    </row>
    <row r="96" spans="1:6" s="226" customFormat="1">
      <c r="A96" s="159" t="s">
        <v>1796</v>
      </c>
      <c r="B96" s="153">
        <f>'Sources and Uses Budget'!$C95</f>
        <v>0</v>
      </c>
      <c r="C96" s="153">
        <f>'Sources and Uses Budget'!$C95</f>
        <v>0</v>
      </c>
      <c r="D96" s="157">
        <f t="shared" si="1"/>
        <v>0</v>
      </c>
      <c r="E96" s="155"/>
      <c r="F96" s="154"/>
    </row>
    <row r="97" spans="1:6" s="226" customFormat="1" ht="13">
      <c r="A97" s="158" t="s">
        <v>1850</v>
      </c>
      <c r="B97" s="157">
        <f>SUM(B84:B96)</f>
        <v>1286265</v>
      </c>
      <c r="C97" s="157">
        <f>SUM(C84:C96)</f>
        <v>1286265</v>
      </c>
      <c r="D97" s="157">
        <f t="shared" si="1"/>
        <v>0</v>
      </c>
      <c r="E97" s="155"/>
      <c r="F97" s="154"/>
    </row>
    <row r="98" spans="1:6" s="226" customFormat="1" ht="13">
      <c r="A98" s="158" t="s">
        <v>1851</v>
      </c>
      <c r="B98" s="157">
        <f>SUM(B64+B71+B78+B82+B97)</f>
        <v>33886061</v>
      </c>
      <c r="C98" s="157">
        <f>SUM(C64+C71+C78+C82+C97)</f>
        <v>33886061</v>
      </c>
      <c r="D98" s="157">
        <f t="shared" si="1"/>
        <v>0</v>
      </c>
      <c r="E98" s="155"/>
      <c r="F98" s="154"/>
    </row>
    <row r="99" spans="1:6" s="226" customFormat="1" ht="13">
      <c r="A99" s="151" t="s">
        <v>1852</v>
      </c>
      <c r="B99" s="151"/>
      <c r="C99" s="151"/>
      <c r="D99" s="151"/>
      <c r="E99" s="169"/>
      <c r="F99" s="151"/>
    </row>
    <row r="100" spans="1:6" s="226" customFormat="1">
      <c r="A100" s="170" t="s">
        <v>1853</v>
      </c>
      <c r="B100" s="153">
        <f>'Sources and Uses Budget'!$C99</f>
        <v>4714020</v>
      </c>
      <c r="C100" s="153">
        <f>'Sources and Uses Budget'!$C99</f>
        <v>4714020</v>
      </c>
      <c r="D100" s="157">
        <f t="shared" si="1"/>
        <v>0</v>
      </c>
      <c r="E100" s="155"/>
      <c r="F100" s="154"/>
    </row>
    <row r="101" spans="1:6" s="226" customFormat="1">
      <c r="A101" s="170" t="s">
        <v>1854</v>
      </c>
      <c r="B101" s="153">
        <f>'Sources and Uses Budget'!$C100</f>
        <v>0</v>
      </c>
      <c r="C101" s="153">
        <f>'Sources and Uses Budget'!$C100</f>
        <v>0</v>
      </c>
      <c r="D101" s="157">
        <f t="shared" si="1"/>
        <v>0</v>
      </c>
      <c r="E101" s="155"/>
      <c r="F101" s="154"/>
    </row>
    <row r="102" spans="1:6" s="226" customFormat="1">
      <c r="A102" s="170" t="s">
        <v>1855</v>
      </c>
      <c r="B102" s="153">
        <f>'Sources and Uses Budget'!$C101</f>
        <v>0</v>
      </c>
      <c r="C102" s="153">
        <f>'Sources and Uses Budget'!$C101</f>
        <v>0</v>
      </c>
      <c r="D102" s="157">
        <f t="shared" si="1"/>
        <v>0</v>
      </c>
      <c r="E102" s="155"/>
      <c r="F102" s="154"/>
    </row>
    <row r="103" spans="1:6" s="226" customFormat="1" ht="12" customHeight="1">
      <c r="A103" s="170" t="s">
        <v>1856</v>
      </c>
      <c r="B103" s="153">
        <f>'Sources and Uses Budget'!$C102</f>
        <v>0</v>
      </c>
      <c r="C103" s="153">
        <f>'Sources and Uses Budget'!$C102</f>
        <v>0</v>
      </c>
      <c r="D103" s="157">
        <f t="shared" si="1"/>
        <v>0</v>
      </c>
      <c r="E103" s="155"/>
      <c r="F103" s="154"/>
    </row>
    <row r="104" spans="1:6" s="226" customFormat="1">
      <c r="A104" s="804" t="str">
        <f>'Sources and Uses Budget'!A103</f>
        <v>Other: (Specify)</v>
      </c>
      <c r="B104" s="153">
        <f>'Sources and Uses Budget'!$C103</f>
        <v>0</v>
      </c>
      <c r="C104" s="153">
        <f>'Sources and Uses Budget'!$C103</f>
        <v>0</v>
      </c>
      <c r="D104" s="157">
        <f t="shared" si="1"/>
        <v>0</v>
      </c>
      <c r="E104" s="155"/>
      <c r="F104" s="154"/>
    </row>
    <row r="105" spans="1:6" s="226" customFormat="1" ht="13">
      <c r="A105" s="158" t="s">
        <v>1857</v>
      </c>
      <c r="B105" s="157">
        <f>SUM(B100:B104)</f>
        <v>4714020</v>
      </c>
      <c r="C105" s="157">
        <f>SUM(C100:C104)</f>
        <v>4714020</v>
      </c>
      <c r="D105" s="157">
        <f t="shared" si="1"/>
        <v>0</v>
      </c>
      <c r="E105" s="155"/>
      <c r="F105" s="154"/>
    </row>
    <row r="106" spans="1:6" s="226" customFormat="1" ht="13">
      <c r="A106" s="158" t="s">
        <v>1858</v>
      </c>
      <c r="B106" s="160">
        <f>SUM(B98+B105)</f>
        <v>38600081</v>
      </c>
      <c r="C106" s="160">
        <f>SUM(C98+C105)</f>
        <v>38600081</v>
      </c>
      <c r="D106" s="157">
        <f t="shared" si="1"/>
        <v>0</v>
      </c>
      <c r="E106" s="155"/>
      <c r="F106" s="154"/>
    </row>
    <row r="107" spans="1:6" s="226" customFormat="1" ht="13">
      <c r="A107" s="164" t="s">
        <v>2764</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heetViews>
  <sheetFormatPr defaultColWidth="0" defaultRowHeight="12.65" customHeight="1" zeroHeight="1"/>
  <cols>
    <col min="1" max="10" width="10.7265625" style="272" customWidth="1"/>
    <col min="11" max="16384" width="8.81640625" style="272" hidden="1"/>
  </cols>
  <sheetData>
    <row r="1" spans="1:10" ht="15.5">
      <c r="A1" s="1231" t="s">
        <v>293</v>
      </c>
      <c r="B1" s="1232"/>
      <c r="C1" s="1232"/>
      <c r="D1" s="1232"/>
      <c r="E1" s="1232"/>
      <c r="F1" s="1232"/>
      <c r="G1" s="1232"/>
      <c r="H1" s="1232"/>
      <c r="I1" s="1232"/>
      <c r="J1" s="1232"/>
    </row>
    <row r="2" spans="1:10" ht="15.5">
      <c r="A2" s="1235" t="s">
        <v>294</v>
      </c>
      <c r="B2" s="1236"/>
      <c r="C2" s="1236"/>
      <c r="D2" s="1236"/>
      <c r="E2" s="1236"/>
      <c r="F2" s="1236"/>
      <c r="G2" s="1236"/>
      <c r="H2" s="1236"/>
      <c r="I2" s="1236"/>
      <c r="J2" s="1236"/>
    </row>
    <row r="3" spans="1:10" ht="12.5"/>
    <row r="4" spans="1:10" ht="12.75" customHeight="1">
      <c r="A4" s="1233" t="s">
        <v>295</v>
      </c>
      <c r="B4" s="1233"/>
      <c r="C4" s="1233"/>
      <c r="D4" s="1233"/>
      <c r="E4" s="1233"/>
      <c r="F4" s="1233"/>
      <c r="G4" s="1233"/>
      <c r="H4" s="1233"/>
      <c r="I4" s="1233"/>
      <c r="J4" s="1233"/>
    </row>
    <row r="5" spans="1:10" ht="12.5">
      <c r="A5" s="1233"/>
      <c r="B5" s="1233"/>
      <c r="C5" s="1233"/>
      <c r="D5" s="1233"/>
      <c r="E5" s="1233"/>
      <c r="F5" s="1233"/>
      <c r="G5" s="1233"/>
      <c r="H5" s="1233"/>
      <c r="I5" s="1233"/>
      <c r="J5" s="1233"/>
    </row>
    <row r="6" spans="1:10" ht="30" customHeight="1">
      <c r="A6" s="1233"/>
      <c r="B6" s="1233"/>
      <c r="C6" s="1233"/>
      <c r="D6" s="1233"/>
      <c r="E6" s="1233"/>
      <c r="F6" s="1233"/>
      <c r="G6" s="1233"/>
      <c r="H6" s="1233"/>
      <c r="I6" s="1233"/>
      <c r="J6" s="1233"/>
    </row>
    <row r="7" spans="1:10" ht="12.5">
      <c r="A7" s="1037"/>
      <c r="B7" s="1037"/>
      <c r="C7" s="1037"/>
      <c r="D7" s="1037"/>
      <c r="E7" s="1037"/>
      <c r="F7" s="1037"/>
      <c r="G7" s="1037"/>
      <c r="H7" s="1037"/>
      <c r="I7" s="1037"/>
      <c r="J7" s="1037"/>
    </row>
    <row r="8" spans="1:10" ht="12.75" customHeight="1">
      <c r="A8" s="272" t="s">
        <v>296</v>
      </c>
      <c r="B8" s="1037"/>
      <c r="C8" s="1037"/>
      <c r="D8" s="1037"/>
      <c r="E8" s="1037"/>
      <c r="F8" s="1037"/>
      <c r="G8" s="1037"/>
      <c r="H8" s="1037"/>
      <c r="I8" s="1037"/>
      <c r="J8" s="1037"/>
    </row>
    <row r="9" spans="1:10" ht="12.5"/>
    <row r="10" spans="1:10" ht="12.75" customHeight="1">
      <c r="A10" s="1237" t="s">
        <v>297</v>
      </c>
      <c r="B10" s="1237"/>
      <c r="C10" s="1237"/>
      <c r="D10" s="1237"/>
      <c r="E10" s="1237"/>
      <c r="F10" s="1237"/>
      <c r="G10" s="1237"/>
      <c r="H10" s="1237"/>
      <c r="I10" s="1237"/>
      <c r="J10" s="1237"/>
    </row>
    <row r="11" spans="1:10" ht="12.5">
      <c r="A11" s="1237"/>
      <c r="B11" s="1237"/>
      <c r="C11" s="1237"/>
      <c r="D11" s="1237"/>
      <c r="E11" s="1237"/>
      <c r="F11" s="1237"/>
      <c r="G11" s="1237"/>
      <c r="H11" s="1237"/>
      <c r="I11" s="1237"/>
      <c r="J11" s="1237"/>
    </row>
    <row r="12" spans="1:10" ht="12.5">
      <c r="A12" s="1237"/>
      <c r="B12" s="1237"/>
      <c r="C12" s="1237"/>
      <c r="D12" s="1237"/>
      <c r="E12" s="1237"/>
      <c r="F12" s="1237"/>
      <c r="G12" s="1237"/>
      <c r="H12" s="1237"/>
      <c r="I12" s="1237"/>
      <c r="J12" s="1237"/>
    </row>
    <row r="13" spans="1:10" ht="12.5">
      <c r="A13" s="1237"/>
      <c r="B13" s="1237"/>
      <c r="C13" s="1237"/>
      <c r="D13" s="1237"/>
      <c r="E13" s="1237"/>
      <c r="F13" s="1237"/>
      <c r="G13" s="1237"/>
      <c r="H13" s="1237"/>
      <c r="I13" s="1237"/>
      <c r="J13" s="1237"/>
    </row>
    <row r="14" spans="1:10" ht="12.5">
      <c r="A14" s="1237"/>
      <c r="B14" s="1237"/>
      <c r="C14" s="1237"/>
      <c r="D14" s="1237"/>
      <c r="E14" s="1237"/>
      <c r="F14" s="1237"/>
      <c r="G14" s="1237"/>
      <c r="H14" s="1237"/>
      <c r="I14" s="1237"/>
      <c r="J14" s="1237"/>
    </row>
    <row r="15" spans="1:10" ht="12.5">
      <c r="A15" s="1237"/>
      <c r="B15" s="1237"/>
      <c r="C15" s="1237"/>
      <c r="D15" s="1237"/>
      <c r="E15" s="1237"/>
      <c r="F15" s="1237"/>
      <c r="G15" s="1237"/>
      <c r="H15" s="1237"/>
      <c r="I15" s="1237"/>
      <c r="J15" s="1237"/>
    </row>
    <row r="16" spans="1:10" ht="12.5">
      <c r="A16" s="1038"/>
      <c r="B16" s="1038"/>
      <c r="C16" s="1038"/>
      <c r="D16" s="1038"/>
      <c r="E16" s="1038"/>
      <c r="F16" s="1038"/>
      <c r="G16" s="1038"/>
      <c r="H16" s="1038"/>
      <c r="I16" s="1038"/>
      <c r="J16" s="1038"/>
    </row>
    <row r="17" spans="1:10" ht="12.5">
      <c r="A17" s="332" t="s">
        <v>298</v>
      </c>
      <c r="B17" s="1037"/>
      <c r="C17" s="1037"/>
      <c r="D17" s="1037"/>
      <c r="E17" s="1037"/>
      <c r="F17" s="1037"/>
      <c r="G17" s="1037"/>
      <c r="H17" s="1037"/>
      <c r="I17" s="1037"/>
      <c r="J17" s="1037"/>
    </row>
    <row r="18" spans="1:10" ht="12.5">
      <c r="A18" s="1037" t="s">
        <v>254</v>
      </c>
      <c r="B18" s="1037"/>
      <c r="C18" s="1037"/>
      <c r="D18" s="1037"/>
      <c r="E18" s="1037"/>
      <c r="F18" s="1037"/>
      <c r="G18" s="1037"/>
      <c r="H18" s="1037"/>
      <c r="I18" s="1037"/>
      <c r="J18" s="1037"/>
    </row>
    <row r="19" spans="1:10" ht="12.5">
      <c r="A19" s="1236" t="s">
        <v>299</v>
      </c>
      <c r="B19" s="1236"/>
      <c r="C19" s="1236"/>
      <c r="D19" s="1236"/>
      <c r="E19" s="1236"/>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3" t="s">
        <v>300</v>
      </c>
      <c r="B56" s="1233"/>
      <c r="C56" s="1233"/>
      <c r="D56" s="1233"/>
      <c r="E56" s="1233"/>
      <c r="F56" s="1233"/>
      <c r="G56" s="1233"/>
      <c r="H56" s="1233"/>
      <c r="I56" s="1233"/>
      <c r="J56" s="1233"/>
    </row>
    <row r="57" spans="1:10" ht="12.5">
      <c r="A57" s="1233"/>
      <c r="B57" s="1233"/>
      <c r="C57" s="1233"/>
      <c r="D57" s="1233"/>
      <c r="E57" s="1233"/>
      <c r="F57" s="1233"/>
      <c r="G57" s="1233"/>
      <c r="H57" s="1233"/>
      <c r="I57" s="1233"/>
      <c r="J57" s="1233"/>
    </row>
    <row r="58" spans="1:10" ht="12.5">
      <c r="A58" s="1233"/>
      <c r="B58" s="1233"/>
      <c r="C58" s="1233"/>
      <c r="D58" s="1233"/>
      <c r="E58" s="1233"/>
      <c r="F58" s="1233"/>
      <c r="G58" s="1233"/>
      <c r="H58" s="1233"/>
      <c r="I58" s="1233"/>
      <c r="J58" s="1233"/>
    </row>
    <row r="59" spans="1:10" ht="12.5"/>
    <row r="60" spans="1:10" ht="12.5">
      <c r="A60" s="272" t="s">
        <v>299</v>
      </c>
    </row>
    <row r="61" spans="1:10" ht="12.5"/>
    <row r="62" spans="1:10" ht="12.5"/>
    <row r="63" spans="1:10" ht="12.5"/>
    <row r="64" spans="1:10" ht="12.5"/>
    <row r="65" spans="1:9" ht="12.5"/>
    <row r="66" spans="1:9" ht="12.5"/>
    <row r="67" spans="1:9" ht="12.5"/>
    <row r="68" spans="1:9" ht="12.5"/>
    <row r="69" spans="1:9" ht="12.5"/>
    <row r="70" spans="1:9" ht="12.5"/>
    <row r="71" spans="1:9" ht="13">
      <c r="A71" s="1234" t="s">
        <v>301</v>
      </c>
      <c r="B71" s="1234"/>
      <c r="C71" s="1234"/>
      <c r="D71" s="1234"/>
      <c r="E71" s="1234"/>
      <c r="F71" s="1234"/>
      <c r="G71" s="1234"/>
      <c r="H71" s="1234"/>
      <c r="I71" s="1234"/>
    </row>
    <row r="72" spans="1:9" ht="12.5">
      <c r="A72" s="1224" t="s">
        <v>14</v>
      </c>
      <c r="B72" s="1224"/>
      <c r="C72" s="1224"/>
      <c r="D72" s="1224"/>
      <c r="E72" s="1224"/>
    </row>
    <row r="73" spans="1:9" ht="12.5">
      <c r="A73" s="1224" t="s">
        <v>15</v>
      </c>
      <c r="B73" s="1224"/>
      <c r="C73" s="1224"/>
      <c r="D73" s="1224"/>
      <c r="E73" s="1224"/>
    </row>
    <row r="74" spans="1:9" ht="12.5">
      <c r="A74" s="1224" t="s">
        <v>302</v>
      </c>
      <c r="B74" s="1224"/>
      <c r="C74" s="1224"/>
      <c r="D74" s="1224"/>
      <c r="E74" s="1224"/>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I1129" sqref="I1129"/>
    </sheetView>
  </sheetViews>
  <sheetFormatPr defaultColWidth="0" defaultRowHeight="13" zeroHeight="1"/>
  <cols>
    <col min="1" max="1" width="3.453125" style="335" customWidth="1"/>
    <col min="2" max="2" width="13.453125" style="335" customWidth="1"/>
    <col min="3" max="3" width="2.453125" style="335" customWidth="1"/>
    <col min="4" max="5" width="3.453125" style="272" customWidth="1"/>
    <col min="6" max="6" width="65.453125" style="272" customWidth="1"/>
    <col min="7" max="7" width="1.453125" style="272" customWidth="1"/>
    <col min="8" max="8" width="3.453125" style="272" customWidth="1"/>
    <col min="9" max="9" width="9.1796875" style="274" customWidth="1"/>
    <col min="10" max="10" width="8.81640625" style="272" hidden="1" customWidth="1"/>
    <col min="11" max="16384" width="8.81640625" style="272" hidden="1"/>
  </cols>
  <sheetData>
    <row r="1" spans="1:13"/>
    <row r="2" spans="1:13">
      <c r="A2" s="1238" t="s">
        <v>303</v>
      </c>
      <c r="B2" s="1238"/>
      <c r="C2" s="1238"/>
      <c r="D2" s="1238"/>
      <c r="E2" s="1238"/>
      <c r="F2" s="1238"/>
      <c r="G2" s="1238"/>
      <c r="H2" s="1238"/>
      <c r="I2" s="1238"/>
    </row>
    <row r="3" spans="1:13">
      <c r="A3" s="1239" t="s">
        <v>304</v>
      </c>
      <c r="B3" s="1239"/>
      <c r="C3" s="1239"/>
      <c r="D3" s="1239"/>
      <c r="E3" s="1239"/>
      <c r="F3" s="1239"/>
      <c r="G3" s="1239"/>
      <c r="H3" s="1239"/>
      <c r="I3" s="1239"/>
    </row>
    <row r="4" spans="1:13">
      <c r="A4" s="1239"/>
      <c r="B4" s="1239"/>
      <c r="C4" s="1236"/>
      <c r="D4" s="1236"/>
      <c r="E4" s="1236"/>
      <c r="F4" s="1236"/>
      <c r="G4" s="1236"/>
    </row>
    <row r="5" spans="1:13">
      <c r="A5" s="1239"/>
      <c r="B5" s="1239"/>
      <c r="C5" s="1236"/>
      <c r="D5" s="1236"/>
      <c r="E5" s="1236"/>
      <c r="F5" s="1236"/>
      <c r="G5" s="1236"/>
    </row>
    <row r="6" spans="1:13" ht="12.75" customHeight="1">
      <c r="A6" s="1263" t="s">
        <v>305</v>
      </c>
      <c r="B6" s="1263"/>
      <c r="C6" s="1263"/>
      <c r="D6" s="1263"/>
      <c r="E6" s="1263"/>
      <c r="F6" s="1263"/>
      <c r="G6" s="1263"/>
      <c r="I6" s="1058"/>
    </row>
    <row r="7" spans="1:13">
      <c r="A7" s="1263"/>
      <c r="B7" s="1263"/>
      <c r="C7" s="1263"/>
      <c r="D7" s="1263"/>
      <c r="E7" s="1263"/>
      <c r="F7" s="1263"/>
      <c r="G7" s="1263"/>
      <c r="I7" s="1058"/>
    </row>
    <row r="8" spans="1:13">
      <c r="A8" s="1054"/>
      <c r="B8" s="1054"/>
      <c r="C8" s="1061"/>
      <c r="D8" s="1061"/>
      <c r="E8" s="1061"/>
      <c r="F8" s="1061"/>
    </row>
    <row r="9" spans="1:13">
      <c r="A9" s="1243" t="s">
        <v>306</v>
      </c>
      <c r="B9" s="1243"/>
      <c r="C9" s="1243"/>
      <c r="D9" s="1243"/>
      <c r="E9" s="1243"/>
      <c r="F9" s="1243"/>
      <c r="G9" s="1243"/>
      <c r="H9" s="811"/>
      <c r="I9" s="812"/>
    </row>
    <row r="10" spans="1:13">
      <c r="A10" s="1061"/>
      <c r="B10" s="1061"/>
      <c r="E10" s="274"/>
    </row>
    <row r="11" spans="1:13" ht="13.75" customHeight="1">
      <c r="C11" s="1061"/>
      <c r="D11" s="1262" t="s">
        <v>307</v>
      </c>
      <c r="E11" s="1262"/>
      <c r="F11" s="1262"/>
    </row>
    <row r="12" spans="1:13">
      <c r="C12" s="1061"/>
      <c r="D12" s="1262"/>
      <c r="E12" s="1262"/>
      <c r="F12" s="1262"/>
    </row>
    <row r="13" spans="1:13">
      <c r="A13" s="336"/>
      <c r="B13" s="336"/>
      <c r="C13" s="336"/>
      <c r="D13" s="1241" t="s">
        <v>308</v>
      </c>
      <c r="E13" s="1241"/>
      <c r="F13" s="1241"/>
      <c r="M13" s="55"/>
    </row>
    <row r="14" spans="1:13">
      <c r="A14" s="336"/>
      <c r="B14" s="336"/>
      <c r="C14" s="336"/>
      <c r="D14" s="332"/>
      <c r="L14" s="1059"/>
    </row>
    <row r="15" spans="1:13">
      <c r="A15" s="337"/>
      <c r="B15" s="338" t="s">
        <v>309</v>
      </c>
      <c r="C15" s="336"/>
      <c r="D15" s="1240" t="s">
        <v>310</v>
      </c>
      <c r="E15" s="1240"/>
      <c r="F15" s="1240"/>
      <c r="I15" s="1058"/>
    </row>
    <row r="16" spans="1:13">
      <c r="A16" s="336"/>
      <c r="B16" s="336"/>
      <c r="C16" s="336"/>
      <c r="D16" s="1240"/>
      <c r="E16" s="1240"/>
      <c r="F16" s="1240"/>
      <c r="I16" s="1058"/>
    </row>
    <row r="17" spans="1:9">
      <c r="A17" s="336"/>
      <c r="B17" s="336"/>
      <c r="C17" s="336"/>
      <c r="D17" s="1240"/>
      <c r="E17" s="1240"/>
      <c r="F17" s="1240"/>
      <c r="I17" s="1058"/>
    </row>
    <row r="18" spans="1:9">
      <c r="A18" s="336"/>
      <c r="B18" s="336"/>
      <c r="C18" s="336"/>
      <c r="D18" s="1050"/>
      <c r="E18" s="1059" t="s">
        <v>311</v>
      </c>
      <c r="F18" s="1050"/>
      <c r="I18" s="1058"/>
    </row>
    <row r="19" spans="1:9">
      <c r="A19" s="336"/>
      <c r="B19" s="336"/>
      <c r="C19" s="336"/>
      <c r="I19" s="1058"/>
    </row>
    <row r="20" spans="1:9">
      <c r="A20" s="337"/>
      <c r="B20" s="338" t="s">
        <v>309</v>
      </c>
      <c r="D20" s="1240" t="s">
        <v>312</v>
      </c>
      <c r="E20" s="1240"/>
      <c r="F20" s="1240"/>
      <c r="I20" s="1058"/>
    </row>
    <row r="21" spans="1:9">
      <c r="A21" s="337"/>
      <c r="D21" s="1240"/>
      <c r="E21" s="1240"/>
      <c r="F21" s="1240"/>
      <c r="I21" s="1058"/>
    </row>
    <row r="22" spans="1:9">
      <c r="A22" s="337"/>
      <c r="D22" s="1052"/>
      <c r="E22" s="55" t="s">
        <v>313</v>
      </c>
      <c r="F22" s="1052"/>
      <c r="I22" s="1058"/>
    </row>
    <row r="23" spans="1:9">
      <c r="A23" s="337"/>
      <c r="B23" s="337"/>
      <c r="D23" s="1049"/>
      <c r="I23" s="1058"/>
    </row>
    <row r="24" spans="1:9">
      <c r="A24" s="337"/>
      <c r="B24" s="338" t="s">
        <v>314</v>
      </c>
      <c r="D24" s="1240" t="s">
        <v>315</v>
      </c>
      <c r="E24" s="1240"/>
      <c r="F24" s="1240"/>
      <c r="I24" s="1058"/>
    </row>
    <row r="25" spans="1:9">
      <c r="A25" s="337"/>
      <c r="B25" s="337"/>
      <c r="D25" s="1240"/>
      <c r="E25" s="1240"/>
      <c r="F25" s="1240"/>
      <c r="I25" s="1058"/>
    </row>
    <row r="26" spans="1:9">
      <c r="I26" s="1058"/>
    </row>
    <row r="27" spans="1:9">
      <c r="A27" s="337"/>
      <c r="B27" s="338" t="s">
        <v>309</v>
      </c>
      <c r="D27" s="1240" t="s">
        <v>316</v>
      </c>
      <c r="E27" s="1240"/>
      <c r="F27" s="1240"/>
      <c r="I27" s="1058"/>
    </row>
    <row r="28" spans="1:9">
      <c r="D28" s="1240"/>
      <c r="E28" s="1240"/>
      <c r="F28" s="1240"/>
      <c r="I28" s="1058"/>
    </row>
    <row r="29" spans="1:9">
      <c r="D29" s="1240"/>
      <c r="E29" s="1240"/>
      <c r="F29" s="1240"/>
      <c r="I29" s="1058"/>
    </row>
    <row r="30" spans="1:9">
      <c r="D30" s="1240"/>
      <c r="E30" s="1240"/>
      <c r="F30" s="1240"/>
      <c r="I30" s="1058"/>
    </row>
    <row r="31" spans="1:9">
      <c r="D31" s="1240"/>
      <c r="E31" s="1240"/>
      <c r="F31" s="1240"/>
      <c r="I31" s="1058"/>
    </row>
    <row r="32" spans="1:9">
      <c r="D32" s="1057"/>
      <c r="I32" s="1058"/>
    </row>
    <row r="33" spans="1:9">
      <c r="B33" s="338" t="s">
        <v>314</v>
      </c>
      <c r="D33" s="1240" t="s">
        <v>317</v>
      </c>
      <c r="E33" s="1240"/>
      <c r="F33" s="1240"/>
      <c r="I33" s="1058"/>
    </row>
    <row r="34" spans="1:9">
      <c r="D34" s="1240"/>
      <c r="E34" s="1240"/>
      <c r="F34" s="1240"/>
      <c r="I34" s="1058"/>
    </row>
    <row r="35" spans="1:9">
      <c r="A35" s="337"/>
      <c r="B35" s="337"/>
      <c r="D35" s="1057"/>
      <c r="I35" s="1058"/>
    </row>
    <row r="36" spans="1:9" ht="14.5" customHeight="1">
      <c r="A36" s="337"/>
      <c r="B36" s="338" t="s">
        <v>309</v>
      </c>
      <c r="D36" s="1240" t="s">
        <v>318</v>
      </c>
      <c r="E36" s="1240"/>
      <c r="F36" s="1240"/>
      <c r="I36" s="1058"/>
    </row>
    <row r="37" spans="1:9">
      <c r="A37" s="337"/>
      <c r="B37" s="337"/>
      <c r="D37" s="1240"/>
      <c r="E37" s="1240"/>
      <c r="F37" s="1240"/>
      <c r="I37" s="1058"/>
    </row>
    <row r="38" spans="1:9">
      <c r="A38" s="337"/>
      <c r="B38" s="337"/>
      <c r="D38" s="1240"/>
      <c r="E38" s="1240"/>
      <c r="F38" s="1240"/>
      <c r="I38" s="1058"/>
    </row>
    <row r="39" spans="1:9">
      <c r="A39" s="337"/>
      <c r="B39" s="337"/>
      <c r="D39" s="1240"/>
      <c r="E39" s="1240"/>
      <c r="F39" s="1240"/>
      <c r="I39" s="1058"/>
    </row>
    <row r="40" spans="1:9">
      <c r="A40" s="337"/>
      <c r="B40" s="337"/>
      <c r="I40" s="1058"/>
    </row>
    <row r="41" spans="1:9">
      <c r="A41" s="337"/>
      <c r="B41" s="338" t="s">
        <v>314</v>
      </c>
      <c r="D41" s="1240" t="s">
        <v>319</v>
      </c>
      <c r="E41" s="1240"/>
      <c r="F41" s="1240"/>
      <c r="I41" s="1058"/>
    </row>
    <row r="42" spans="1:9">
      <c r="A42" s="337"/>
      <c r="B42" s="337"/>
      <c r="D42" s="1240"/>
      <c r="E42" s="1240"/>
      <c r="F42" s="1240"/>
      <c r="I42" s="1058"/>
    </row>
    <row r="43" spans="1:9">
      <c r="A43" s="337"/>
      <c r="B43" s="337"/>
      <c r="D43" s="1240"/>
      <c r="E43" s="1240"/>
      <c r="F43" s="1240"/>
      <c r="I43" s="1058"/>
    </row>
    <row r="44" spans="1:9">
      <c r="A44" s="337"/>
      <c r="B44" s="337"/>
      <c r="D44" s="1240"/>
      <c r="E44" s="1240"/>
      <c r="F44" s="1240"/>
      <c r="I44" s="1058"/>
    </row>
    <row r="45" spans="1:9">
      <c r="A45" s="337"/>
      <c r="B45" s="337"/>
      <c r="D45" s="1240"/>
      <c r="E45" s="1240"/>
      <c r="F45" s="1240"/>
      <c r="I45" s="1058"/>
    </row>
    <row r="46" spans="1:9">
      <c r="A46" s="337"/>
      <c r="B46" s="337"/>
      <c r="D46" s="1050"/>
      <c r="E46" s="1050"/>
      <c r="F46" s="1050"/>
      <c r="I46" s="1058"/>
    </row>
    <row r="47" spans="1:9">
      <c r="A47" s="337"/>
      <c r="B47" s="338" t="s">
        <v>309</v>
      </c>
      <c r="D47" s="1240" t="s">
        <v>320</v>
      </c>
      <c r="E47" s="1240"/>
      <c r="F47" s="1240"/>
      <c r="I47" s="1058"/>
    </row>
    <row r="48" spans="1:9">
      <c r="A48" s="337"/>
      <c r="B48" s="337"/>
      <c r="D48" s="1240"/>
      <c r="E48" s="1240"/>
      <c r="F48" s="1240"/>
      <c r="I48" s="1058"/>
    </row>
    <row r="49" spans="1:9">
      <c r="A49" s="337"/>
      <c r="B49" s="337"/>
      <c r="D49" s="1240"/>
      <c r="E49" s="1240"/>
      <c r="F49" s="1240"/>
      <c r="I49" s="1058"/>
    </row>
    <row r="50" spans="1:9" ht="23.25" customHeight="1">
      <c r="A50" s="337"/>
      <c r="B50" s="337"/>
      <c r="D50" s="1240"/>
      <c r="E50" s="1240"/>
      <c r="F50" s="1240"/>
      <c r="I50" s="1058"/>
    </row>
    <row r="51" spans="1:9">
      <c r="A51" s="337"/>
      <c r="B51" s="337"/>
      <c r="D51" s="1049"/>
      <c r="I51" s="1058"/>
    </row>
    <row r="52" spans="1:9" ht="14.5" customHeight="1">
      <c r="A52" s="337"/>
      <c r="B52" s="338" t="s">
        <v>314</v>
      </c>
      <c r="D52" s="1240" t="s">
        <v>321</v>
      </c>
      <c r="E52" s="1240"/>
      <c r="F52" s="1240"/>
      <c r="I52" s="1058"/>
    </row>
    <row r="53" spans="1:9">
      <c r="A53" s="337"/>
      <c r="B53" s="337"/>
      <c r="D53" s="1240"/>
      <c r="E53" s="1240"/>
      <c r="F53" s="1240"/>
      <c r="I53" s="1058"/>
    </row>
    <row r="54" spans="1:9">
      <c r="A54" s="337"/>
      <c r="B54" s="337"/>
      <c r="D54" s="1240"/>
      <c r="E54" s="1240"/>
      <c r="F54" s="1240"/>
      <c r="I54" s="1058"/>
    </row>
    <row r="55" spans="1:9">
      <c r="A55" s="337"/>
      <c r="B55" s="337"/>
      <c r="I55" s="1058"/>
    </row>
    <row r="56" spans="1:9">
      <c r="A56" s="337"/>
      <c r="B56" s="338" t="s">
        <v>309</v>
      </c>
      <c r="D56" s="1264" t="s">
        <v>322</v>
      </c>
      <c r="E56" s="1264"/>
      <c r="F56" s="1264"/>
      <c r="I56" s="1058"/>
    </row>
    <row r="57" spans="1:9">
      <c r="A57" s="337"/>
      <c r="B57" s="337"/>
      <c r="D57" s="1264"/>
      <c r="E57" s="1264"/>
      <c r="F57" s="1264"/>
      <c r="I57" s="1058"/>
    </row>
    <row r="58" spans="1:9">
      <c r="A58" s="337"/>
      <c r="B58" s="337"/>
      <c r="D58" s="1052" t="s">
        <v>323</v>
      </c>
      <c r="E58" s="1050"/>
      <c r="F58" s="1050"/>
      <c r="I58" s="1058"/>
    </row>
    <row r="59" spans="1:9">
      <c r="A59" s="337"/>
      <c r="B59" s="337"/>
      <c r="D59" s="1050"/>
      <c r="E59" s="1059" t="s">
        <v>311</v>
      </c>
      <c r="F59" s="1050"/>
      <c r="I59" s="1058"/>
    </row>
    <row r="60" spans="1:9">
      <c r="D60" s="1057"/>
      <c r="I60" s="1058"/>
    </row>
    <row r="61" spans="1:9">
      <c r="A61" s="337"/>
      <c r="B61" s="338" t="s">
        <v>314</v>
      </c>
      <c r="D61" s="1240" t="s">
        <v>324</v>
      </c>
      <c r="E61" s="1240"/>
      <c r="F61" s="1240"/>
      <c r="I61" s="1058"/>
    </row>
    <row r="62" spans="1:9">
      <c r="D62" s="1240"/>
      <c r="E62" s="1240"/>
      <c r="F62" s="1240"/>
      <c r="I62" s="1058"/>
    </row>
    <row r="63" spans="1:9">
      <c r="D63" s="1240"/>
      <c r="E63" s="1240"/>
      <c r="F63" s="1240"/>
      <c r="I63" s="1058"/>
    </row>
    <row r="64" spans="1:9">
      <c r="I64" s="1058"/>
    </row>
    <row r="65" spans="1:9">
      <c r="A65" s="337"/>
      <c r="B65" s="338" t="s">
        <v>314</v>
      </c>
      <c r="D65" s="1240" t="s">
        <v>325</v>
      </c>
      <c r="E65" s="1240"/>
      <c r="F65" s="1240"/>
      <c r="I65" s="1058"/>
    </row>
    <row r="66" spans="1:9">
      <c r="D66" s="1240"/>
      <c r="E66" s="1240"/>
      <c r="F66" s="1240"/>
      <c r="I66" s="1058"/>
    </row>
    <row r="67" spans="1:9">
      <c r="I67" s="1058"/>
    </row>
    <row r="68" spans="1:9">
      <c r="A68" s="337"/>
      <c r="B68" s="338" t="s">
        <v>309</v>
      </c>
      <c r="D68" s="1240" t="s">
        <v>326</v>
      </c>
      <c r="E68" s="1240"/>
      <c r="F68" s="1240"/>
      <c r="I68" s="1058"/>
    </row>
    <row r="69" spans="1:9">
      <c r="D69" s="1240"/>
      <c r="E69" s="1240"/>
      <c r="F69" s="1240"/>
      <c r="I69" s="1058"/>
    </row>
    <row r="70" spans="1:9">
      <c r="D70" s="1240"/>
      <c r="E70" s="1240"/>
      <c r="F70" s="1240"/>
      <c r="I70" s="1058"/>
    </row>
    <row r="71" spans="1:9">
      <c r="I71" s="1058"/>
    </row>
    <row r="72" spans="1:9">
      <c r="A72" s="337"/>
      <c r="B72" s="338" t="s">
        <v>314</v>
      </c>
      <c r="D72" s="1240" t="s">
        <v>327</v>
      </c>
      <c r="E72" s="1240"/>
      <c r="F72" s="1240"/>
      <c r="I72" s="1058"/>
    </row>
    <row r="73" spans="1:9">
      <c r="D73" s="1240"/>
      <c r="E73" s="1240"/>
      <c r="F73" s="1240"/>
      <c r="I73" s="1058"/>
    </row>
    <row r="74" spans="1:9">
      <c r="A74" s="337"/>
      <c r="B74" s="337"/>
      <c r="D74" s="1049"/>
      <c r="I74" s="1058"/>
    </row>
    <row r="75" spans="1:9">
      <c r="A75" s="1243" t="s">
        <v>328</v>
      </c>
      <c r="B75" s="1243"/>
      <c r="C75" s="1243"/>
      <c r="D75" s="1243"/>
      <c r="E75" s="1243"/>
      <c r="F75" s="1243"/>
      <c r="G75" s="1243"/>
      <c r="H75" s="811"/>
      <c r="I75" s="933"/>
    </row>
    <row r="76" spans="1:9">
      <c r="I76" s="1058"/>
    </row>
    <row r="77" spans="1:9">
      <c r="C77" s="339"/>
      <c r="D77" s="1242" t="s">
        <v>329</v>
      </c>
      <c r="E77" s="1242"/>
      <c r="F77" s="1242"/>
      <c r="I77" s="1058"/>
    </row>
    <row r="78" spans="1:9">
      <c r="A78" s="1049"/>
      <c r="B78" s="1049"/>
      <c r="D78" s="1240" t="s">
        <v>330</v>
      </c>
      <c r="E78" s="1240"/>
      <c r="F78" s="1240"/>
      <c r="I78" s="1058"/>
    </row>
    <row r="79" spans="1:9">
      <c r="A79" s="1049"/>
      <c r="B79" s="1049"/>
      <c r="I79" s="1058"/>
    </row>
    <row r="80" spans="1:9" ht="13.75" customHeight="1">
      <c r="A80" s="337"/>
      <c r="B80" s="338" t="s">
        <v>309</v>
      </c>
      <c r="D80" s="1240" t="s">
        <v>331</v>
      </c>
      <c r="E80" s="1240"/>
      <c r="F80" s="1240"/>
      <c r="I80" s="1058"/>
    </row>
    <row r="81" spans="1:9">
      <c r="A81" s="337"/>
      <c r="B81" s="337"/>
      <c r="D81" s="1240"/>
      <c r="E81" s="1240"/>
      <c r="F81" s="1240"/>
      <c r="I81" s="1058"/>
    </row>
    <row r="82" spans="1:9">
      <c r="A82" s="337"/>
      <c r="B82" s="337"/>
      <c r="D82" s="1240"/>
      <c r="E82" s="1240"/>
      <c r="F82" s="1240"/>
      <c r="I82" s="1058"/>
    </row>
    <row r="83" spans="1:9">
      <c r="A83" s="337"/>
      <c r="B83" s="337"/>
      <c r="D83" s="1240"/>
      <c r="E83" s="1240"/>
      <c r="F83" s="1240"/>
      <c r="I83" s="1058"/>
    </row>
    <row r="84" spans="1:9">
      <c r="A84" s="337"/>
      <c r="B84" s="337"/>
      <c r="D84" s="1240"/>
      <c r="E84" s="1240"/>
      <c r="F84" s="1240"/>
      <c r="I84" s="1058"/>
    </row>
    <row r="85" spans="1:9">
      <c r="A85" s="337"/>
      <c r="B85" s="337"/>
      <c r="D85" s="1240"/>
      <c r="E85" s="1240"/>
      <c r="F85" s="1240"/>
      <c r="I85" s="1058"/>
    </row>
    <row r="86" spans="1:9">
      <c r="A86" s="337"/>
      <c r="B86" s="337"/>
      <c r="D86" s="1240"/>
      <c r="E86" s="1240"/>
      <c r="F86" s="1240"/>
      <c r="I86" s="1058"/>
    </row>
    <row r="87" spans="1:9">
      <c r="A87" s="337"/>
      <c r="B87" s="337"/>
      <c r="D87" s="1240"/>
      <c r="E87" s="1240"/>
      <c r="F87" s="1240"/>
      <c r="I87" s="1058"/>
    </row>
    <row r="88" spans="1:9">
      <c r="A88" s="337"/>
      <c r="B88" s="337"/>
      <c r="D88" s="1056"/>
      <c r="E88" s="1056"/>
      <c r="F88" s="1056"/>
      <c r="I88" s="1058"/>
    </row>
    <row r="89" spans="1:9" ht="15" customHeight="1">
      <c r="A89" s="337"/>
      <c r="B89" s="338" t="s">
        <v>309</v>
      </c>
      <c r="D89" s="1240" t="s">
        <v>332</v>
      </c>
      <c r="E89" s="1240"/>
      <c r="F89" s="1240"/>
      <c r="I89" s="1058"/>
    </row>
    <row r="90" spans="1:9">
      <c r="A90" s="337"/>
      <c r="B90" s="337"/>
      <c r="D90" s="1240"/>
      <c r="E90" s="1240"/>
      <c r="F90" s="1240"/>
      <c r="I90" s="1058"/>
    </row>
    <row r="91" spans="1:9">
      <c r="A91" s="337"/>
      <c r="B91" s="337"/>
      <c r="D91" s="1050"/>
      <c r="E91" s="1050"/>
      <c r="F91" s="1050"/>
      <c r="I91" s="1058"/>
    </row>
    <row r="92" spans="1:9">
      <c r="A92" s="337"/>
      <c r="B92" s="338" t="s">
        <v>309</v>
      </c>
      <c r="D92" s="1240" t="s">
        <v>333</v>
      </c>
      <c r="E92" s="1240"/>
      <c r="F92" s="1240"/>
      <c r="I92" s="1058"/>
    </row>
    <row r="93" spans="1:9">
      <c r="A93" s="337"/>
      <c r="B93" s="337"/>
      <c r="D93" s="1240"/>
      <c r="E93" s="1240"/>
      <c r="F93" s="1240"/>
      <c r="I93" s="1058"/>
    </row>
    <row r="94" spans="1:9">
      <c r="A94" s="337"/>
      <c r="B94" s="337"/>
      <c r="D94" s="1240"/>
      <c r="E94" s="1240"/>
      <c r="F94" s="1240"/>
      <c r="I94" s="1058"/>
    </row>
    <row r="95" spans="1:9">
      <c r="A95" s="337"/>
      <c r="B95" s="337"/>
      <c r="D95" s="1050"/>
      <c r="E95" s="1050"/>
      <c r="F95" s="1050"/>
      <c r="I95" s="1058"/>
    </row>
    <row r="96" spans="1:9">
      <c r="A96" s="337"/>
      <c r="B96" s="338" t="s">
        <v>309</v>
      </c>
      <c r="D96" s="1240" t="s">
        <v>334</v>
      </c>
      <c r="E96" s="1240"/>
      <c r="F96" s="1240"/>
      <c r="I96" s="1058"/>
    </row>
    <row r="97" spans="1:9" s="779" customFormat="1">
      <c r="A97" s="777"/>
      <c r="B97" s="777"/>
      <c r="C97" s="778"/>
      <c r="D97" s="1240"/>
      <c r="E97" s="1240"/>
      <c r="F97" s="1240"/>
      <c r="I97" s="934"/>
    </row>
    <row r="98" spans="1:9">
      <c r="A98" s="337"/>
      <c r="B98" s="337"/>
      <c r="D98" s="1052"/>
      <c r="E98" s="1059" t="s">
        <v>335</v>
      </c>
      <c r="F98" s="1050"/>
      <c r="I98" s="1058"/>
    </row>
    <row r="99" spans="1:9">
      <c r="A99" s="337"/>
      <c r="B99" s="337"/>
      <c r="D99" s="1056"/>
      <c r="E99" s="1056"/>
      <c r="F99" s="1056"/>
      <c r="I99" s="1058"/>
    </row>
    <row r="100" spans="1:9">
      <c r="A100" s="337"/>
      <c r="B100" s="338" t="s">
        <v>314</v>
      </c>
      <c r="D100" s="1240" t="s">
        <v>336</v>
      </c>
      <c r="E100" s="1240"/>
      <c r="F100" s="1240"/>
      <c r="I100" s="1058"/>
    </row>
    <row r="101" spans="1:9">
      <c r="A101" s="337"/>
      <c r="B101" s="337"/>
      <c r="D101" s="1240"/>
      <c r="E101" s="1240"/>
      <c r="F101" s="1240"/>
      <c r="I101" s="1058"/>
    </row>
    <row r="102" spans="1:9">
      <c r="A102" s="337"/>
      <c r="B102" s="337"/>
      <c r="D102" s="1050"/>
      <c r="E102" s="1050"/>
      <c r="F102" s="1050"/>
      <c r="I102" s="1058"/>
    </row>
    <row r="103" spans="1:9" ht="14.5" customHeight="1">
      <c r="A103" s="337"/>
      <c r="B103" s="338" t="s">
        <v>314</v>
      </c>
      <c r="D103" s="1240" t="s">
        <v>337</v>
      </c>
      <c r="E103" s="1240"/>
      <c r="F103" s="1240"/>
      <c r="I103" s="1058"/>
    </row>
    <row r="104" spans="1:9">
      <c r="A104" s="337"/>
      <c r="B104" s="337"/>
      <c r="D104" s="1240"/>
      <c r="E104" s="1240"/>
      <c r="F104" s="1240"/>
      <c r="I104" s="1058"/>
    </row>
    <row r="105" spans="1:9">
      <c r="A105" s="337"/>
      <c r="B105" s="337"/>
      <c r="D105" s="1240"/>
      <c r="E105" s="1240"/>
      <c r="F105" s="1240"/>
      <c r="I105" s="1058"/>
    </row>
    <row r="106" spans="1:9">
      <c r="A106" s="337"/>
      <c r="B106" s="337"/>
      <c r="D106" s="1240"/>
      <c r="E106" s="1240"/>
      <c r="F106" s="1240"/>
      <c r="I106" s="1058"/>
    </row>
    <row r="107" spans="1:9">
      <c r="A107" s="337"/>
      <c r="B107" s="337"/>
      <c r="D107" s="1240"/>
      <c r="E107" s="1240"/>
      <c r="F107" s="1240"/>
      <c r="I107" s="1058"/>
    </row>
    <row r="108" spans="1:9">
      <c r="A108" s="337"/>
      <c r="B108" s="337"/>
      <c r="D108" s="1240"/>
      <c r="E108" s="1240"/>
      <c r="F108" s="1240"/>
      <c r="I108" s="1058"/>
    </row>
    <row r="109" spans="1:9">
      <c r="A109" s="337"/>
      <c r="B109" s="337"/>
      <c r="D109" s="1240"/>
      <c r="E109" s="1240"/>
      <c r="F109" s="1240"/>
      <c r="I109" s="1058"/>
    </row>
    <row r="110" spans="1:9">
      <c r="A110" s="337"/>
      <c r="B110" s="337"/>
      <c r="D110" s="1240"/>
      <c r="E110" s="1240"/>
      <c r="F110" s="1240"/>
      <c r="I110" s="1058"/>
    </row>
    <row r="111" spans="1:9">
      <c r="A111" s="337"/>
      <c r="B111" s="337"/>
      <c r="D111" s="1240"/>
      <c r="E111" s="1240"/>
      <c r="F111" s="1240"/>
      <c r="I111" s="1058"/>
    </row>
    <row r="112" spans="1:9">
      <c r="A112" s="337"/>
      <c r="B112" s="337"/>
      <c r="D112" s="1240"/>
      <c r="E112" s="1240"/>
      <c r="F112" s="1240"/>
      <c r="I112" s="1058"/>
    </row>
    <row r="113" spans="1:9">
      <c r="A113" s="337"/>
      <c r="B113" s="337"/>
      <c r="D113" s="1240"/>
      <c r="E113" s="1240"/>
      <c r="F113" s="1240"/>
      <c r="I113" s="1058"/>
    </row>
    <row r="114" spans="1:9">
      <c r="A114" s="337"/>
      <c r="B114" s="337"/>
      <c r="D114" s="1240"/>
      <c r="E114" s="1240"/>
      <c r="F114" s="1240"/>
      <c r="I114" s="1058"/>
    </row>
    <row r="115" spans="1:9">
      <c r="A115" s="337"/>
      <c r="B115" s="337"/>
      <c r="D115" s="1240"/>
      <c r="E115" s="1240"/>
      <c r="F115" s="1240"/>
      <c r="I115" s="1058"/>
    </row>
    <row r="116" spans="1:9">
      <c r="A116" s="337"/>
      <c r="B116" s="337"/>
      <c r="D116" s="1240"/>
      <c r="E116" s="1240"/>
      <c r="F116" s="1240"/>
      <c r="I116" s="1058"/>
    </row>
    <row r="117" spans="1:9">
      <c r="A117" s="337"/>
      <c r="B117" s="337"/>
      <c r="D117" s="1240"/>
      <c r="E117" s="1240"/>
      <c r="F117" s="1240"/>
      <c r="I117" s="1058"/>
    </row>
    <row r="118" spans="1:9">
      <c r="A118" s="337"/>
      <c r="B118" s="337"/>
      <c r="D118" s="1038"/>
      <c r="E118" s="1038"/>
      <c r="F118" s="1038"/>
      <c r="I118" s="1058"/>
    </row>
    <row r="119" spans="1:9" ht="14.25" customHeight="1">
      <c r="A119" s="337"/>
      <c r="B119" s="338" t="s">
        <v>314</v>
      </c>
      <c r="D119" s="1260" t="s">
        <v>338</v>
      </c>
      <c r="E119" s="1260"/>
      <c r="F119" s="1260"/>
      <c r="I119" s="1058"/>
    </row>
    <row r="120" spans="1:9">
      <c r="A120" s="337"/>
      <c r="B120" s="337"/>
      <c r="D120" s="1260"/>
      <c r="E120" s="1260"/>
      <c r="F120" s="1260"/>
      <c r="I120" s="1058"/>
    </row>
    <row r="121" spans="1:9">
      <c r="A121" s="337"/>
      <c r="B121" s="337"/>
      <c r="D121" s="1260"/>
      <c r="E121" s="1260"/>
      <c r="F121" s="1260"/>
      <c r="I121" s="1058"/>
    </row>
    <row r="122" spans="1:9">
      <c r="A122" s="337"/>
      <c r="B122" s="337"/>
      <c r="D122" s="1260"/>
      <c r="E122" s="1260"/>
      <c r="F122" s="1260"/>
      <c r="I122" s="1058"/>
    </row>
    <row r="123" spans="1:9">
      <c r="A123" s="337"/>
      <c r="B123" s="337"/>
      <c r="D123" s="1260"/>
      <c r="E123" s="1260"/>
      <c r="F123" s="1260"/>
      <c r="I123" s="1058"/>
    </row>
    <row r="124" spans="1:9">
      <c r="A124" s="337"/>
      <c r="B124" s="337"/>
      <c r="D124" s="1260"/>
      <c r="E124" s="1260"/>
      <c r="F124" s="1260"/>
      <c r="I124" s="1058"/>
    </row>
    <row r="125" spans="1:9">
      <c r="A125" s="337"/>
      <c r="B125" s="337"/>
      <c r="D125" s="1260"/>
      <c r="E125" s="1260"/>
      <c r="F125" s="1260"/>
      <c r="I125" s="1058"/>
    </row>
    <row r="126" spans="1:9">
      <c r="A126" s="337"/>
      <c r="B126" s="337"/>
      <c r="D126" s="1260"/>
      <c r="E126" s="1260"/>
      <c r="F126" s="1260"/>
      <c r="I126" s="1058"/>
    </row>
    <row r="127" spans="1:9">
      <c r="C127" s="272"/>
      <c r="D127" s="374"/>
      <c r="E127" s="374"/>
      <c r="F127" s="374"/>
      <c r="I127" s="1058"/>
    </row>
    <row r="128" spans="1:9">
      <c r="A128" s="337"/>
      <c r="B128" s="338" t="s">
        <v>309</v>
      </c>
      <c r="C128" s="272"/>
      <c r="D128" s="1260" t="s">
        <v>339</v>
      </c>
      <c r="E128" s="1260"/>
      <c r="F128" s="1260"/>
      <c r="I128" s="1058"/>
    </row>
    <row r="129" spans="1:9">
      <c r="A129" s="337"/>
      <c r="B129" s="337"/>
      <c r="C129" s="272"/>
      <c r="D129" s="1260"/>
      <c r="E129" s="1260"/>
      <c r="F129" s="1260"/>
      <c r="I129" s="1058"/>
    </row>
    <row r="130" spans="1:9">
      <c r="I130" s="1058"/>
    </row>
    <row r="131" spans="1:9">
      <c r="A131" s="337"/>
      <c r="B131" s="338" t="s">
        <v>309</v>
      </c>
      <c r="D131" s="1240" t="s">
        <v>340</v>
      </c>
      <c r="E131" s="1240"/>
      <c r="F131" s="1240"/>
      <c r="I131" s="1058"/>
    </row>
    <row r="132" spans="1:9">
      <c r="D132" s="1240"/>
      <c r="E132" s="1240"/>
      <c r="F132" s="1240"/>
      <c r="I132" s="1058"/>
    </row>
    <row r="133" spans="1:9">
      <c r="D133" s="1240"/>
      <c r="E133" s="1240"/>
      <c r="F133" s="1240"/>
      <c r="I133" s="1058"/>
    </row>
    <row r="134" spans="1:9">
      <c r="D134" s="1240"/>
      <c r="E134" s="1240"/>
      <c r="F134" s="1240"/>
      <c r="I134" s="1058"/>
    </row>
    <row r="135" spans="1:9">
      <c r="D135" s="1240"/>
      <c r="E135" s="1240"/>
      <c r="F135" s="1240"/>
      <c r="I135" s="1058"/>
    </row>
    <row r="136" spans="1:9">
      <c r="I136" s="1058"/>
    </row>
    <row r="137" spans="1:9">
      <c r="A137" s="337"/>
      <c r="B137" s="338" t="s">
        <v>309</v>
      </c>
      <c r="D137" s="1240" t="s">
        <v>341</v>
      </c>
      <c r="E137" s="1240"/>
      <c r="F137" s="1240"/>
      <c r="I137" s="1058"/>
    </row>
    <row r="138" spans="1:9" s="286" customFormat="1" ht="13.75" customHeight="1">
      <c r="A138" s="341"/>
      <c r="B138" s="341"/>
      <c r="C138" s="341"/>
      <c r="D138" s="1240"/>
      <c r="E138" s="1240"/>
      <c r="F138" s="1240"/>
      <c r="I138" s="935"/>
    </row>
    <row r="139" spans="1:9" ht="13.75" customHeight="1">
      <c r="D139" s="1240"/>
      <c r="E139" s="1240"/>
      <c r="F139" s="1240"/>
      <c r="I139" s="1058"/>
    </row>
    <row r="140" spans="1:9" ht="13.75" customHeight="1">
      <c r="D140" s="1240"/>
      <c r="E140" s="1240"/>
      <c r="F140" s="1240"/>
      <c r="I140" s="1058"/>
    </row>
    <row r="141" spans="1:9" ht="13.75" customHeight="1">
      <c r="D141" s="1240"/>
      <c r="E141" s="1240"/>
      <c r="F141" s="1240"/>
      <c r="I141" s="1058"/>
    </row>
    <row r="142" spans="1:9" ht="13.75" customHeight="1">
      <c r="A142" s="342"/>
      <c r="B142" s="342"/>
      <c r="D142" s="1240"/>
      <c r="E142" s="1240"/>
      <c r="F142" s="1240"/>
      <c r="I142" s="1058"/>
    </row>
    <row r="143" spans="1:9" ht="13.75" customHeight="1">
      <c r="D143" s="1240"/>
      <c r="E143" s="1240"/>
      <c r="F143" s="1240"/>
      <c r="I143" s="1058"/>
    </row>
    <row r="144" spans="1:9" ht="13.75" customHeight="1">
      <c r="D144" s="1240"/>
      <c r="E144" s="1240"/>
      <c r="F144" s="1240"/>
      <c r="I144" s="1058"/>
    </row>
    <row r="145" spans="2:9" ht="13.75" customHeight="1">
      <c r="D145" s="1240"/>
      <c r="E145" s="1240"/>
      <c r="F145" s="1240"/>
      <c r="I145" s="1058"/>
    </row>
    <row r="146" spans="2:9" ht="13.75" customHeight="1">
      <c r="D146" s="1240"/>
      <c r="E146" s="1240"/>
      <c r="F146" s="1240"/>
      <c r="I146" s="1058"/>
    </row>
    <row r="147" spans="2:9" ht="13.75" customHeight="1">
      <c r="D147" s="1240"/>
      <c r="E147" s="1240"/>
      <c r="F147" s="1240"/>
      <c r="I147" s="1058"/>
    </row>
    <row r="148" spans="2:9" ht="13.75" customHeight="1">
      <c r="D148" s="1240"/>
      <c r="E148" s="1240"/>
      <c r="F148" s="1240"/>
      <c r="I148" s="1058"/>
    </row>
    <row r="149" spans="2:9" ht="13.75" customHeight="1">
      <c r="D149" s="1240"/>
      <c r="E149" s="1240"/>
      <c r="F149" s="1240"/>
      <c r="I149" s="1058"/>
    </row>
    <row r="150" spans="2:9" ht="13.75" customHeight="1">
      <c r="D150" s="332"/>
      <c r="E150" s="1049"/>
      <c r="F150" s="1049"/>
      <c r="I150" s="1058"/>
    </row>
    <row r="151" spans="2:9" ht="13.75" customHeight="1">
      <c r="B151" s="338" t="s">
        <v>314</v>
      </c>
      <c r="D151" s="1240" t="s">
        <v>342</v>
      </c>
      <c r="E151" s="1240"/>
      <c r="F151" s="1240"/>
      <c r="I151" s="1058"/>
    </row>
    <row r="152" spans="2:9" ht="13.75" customHeight="1">
      <c r="D152" s="1240"/>
      <c r="E152" s="1240"/>
      <c r="F152" s="1240"/>
      <c r="I152" s="1058"/>
    </row>
    <row r="153" spans="2:9" ht="13.75" customHeight="1">
      <c r="D153" s="1240"/>
      <c r="E153" s="1240"/>
      <c r="F153" s="1240"/>
      <c r="I153" s="1058"/>
    </row>
    <row r="154" spans="2:9" ht="13.75" customHeight="1">
      <c r="D154" s="1240"/>
      <c r="E154" s="1240"/>
      <c r="F154" s="1240"/>
      <c r="I154" s="1058"/>
    </row>
    <row r="155" spans="2:9" ht="13.75" customHeight="1">
      <c r="D155" s="1240"/>
      <c r="E155" s="1240"/>
      <c r="F155" s="1240"/>
      <c r="I155" s="1058"/>
    </row>
    <row r="156" spans="2:9" ht="13.75" customHeight="1">
      <c r="D156" s="1240"/>
      <c r="E156" s="1240"/>
      <c r="F156" s="1240"/>
      <c r="I156" s="1058"/>
    </row>
    <row r="157" spans="2:9" ht="13.75" customHeight="1">
      <c r="D157" s="1240"/>
      <c r="E157" s="1240"/>
      <c r="F157" s="1240"/>
      <c r="I157" s="1058"/>
    </row>
    <row r="158" spans="2:9" ht="13.75" customHeight="1">
      <c r="D158" s="1240"/>
      <c r="E158" s="1240"/>
      <c r="F158" s="1240"/>
      <c r="I158" s="1058"/>
    </row>
    <row r="159" spans="2:9" ht="13.75" customHeight="1">
      <c r="D159" s="1240"/>
      <c r="E159" s="1240"/>
      <c r="F159" s="1240"/>
      <c r="I159" s="1058"/>
    </row>
    <row r="160" spans="2:9" ht="13.75" customHeight="1">
      <c r="D160" s="1240"/>
      <c r="E160" s="1240"/>
      <c r="F160" s="1240"/>
      <c r="I160" s="1058"/>
    </row>
    <row r="161" spans="1:9" ht="13.75" customHeight="1">
      <c r="D161" s="1240"/>
      <c r="E161" s="1240"/>
      <c r="F161" s="1240"/>
      <c r="I161" s="1058"/>
    </row>
    <row r="162" spans="1:9" ht="13.75" customHeight="1">
      <c r="D162" s="1240"/>
      <c r="E162" s="1240"/>
      <c r="F162" s="1240"/>
      <c r="I162" s="1058"/>
    </row>
    <row r="163" spans="1:9" ht="13.75" customHeight="1">
      <c r="D163" s="1240"/>
      <c r="E163" s="1240"/>
      <c r="F163" s="1240"/>
      <c r="I163" s="1058"/>
    </row>
    <row r="164" spans="1:9" ht="13.75" customHeight="1">
      <c r="D164" s="1240"/>
      <c r="E164" s="1240"/>
      <c r="F164" s="1240"/>
      <c r="I164" s="1058"/>
    </row>
    <row r="165" spans="1:9" ht="13.75" customHeight="1">
      <c r="D165" s="1240"/>
      <c r="E165" s="1240"/>
      <c r="F165" s="1240"/>
      <c r="I165" s="1058"/>
    </row>
    <row r="166" spans="1:9" ht="13.75" customHeight="1">
      <c r="D166" s="1240"/>
      <c r="E166" s="1240"/>
      <c r="F166" s="1240"/>
      <c r="I166" s="1058"/>
    </row>
    <row r="167" spans="1:9" ht="13.75" customHeight="1">
      <c r="D167" s="1240"/>
      <c r="E167" s="1240"/>
      <c r="F167" s="1240"/>
      <c r="I167" s="1058"/>
    </row>
    <row r="168" spans="1:9" ht="13.75" customHeight="1">
      <c r="D168" s="1240"/>
      <c r="E168" s="1240"/>
      <c r="F168" s="1240"/>
      <c r="I168" s="1058"/>
    </row>
    <row r="169" spans="1:9" ht="13.75" customHeight="1">
      <c r="D169" s="1261" t="s">
        <v>343</v>
      </c>
      <c r="E169" s="1261"/>
      <c r="F169" s="1261"/>
      <c r="G169" s="359"/>
      <c r="I169" s="1058"/>
    </row>
    <row r="170" spans="1:9" ht="13.75" customHeight="1">
      <c r="D170" s="1252"/>
      <c r="E170" s="1252"/>
      <c r="F170" s="1252"/>
      <c r="G170" s="1252"/>
      <c r="I170" s="1058"/>
    </row>
    <row r="171" spans="1:9" ht="14.5" customHeight="1">
      <c r="A171" s="342"/>
      <c r="B171" s="338" t="s">
        <v>309</v>
      </c>
      <c r="C171" s="332"/>
      <c r="D171" s="1220" t="s">
        <v>344</v>
      </c>
      <c r="E171" s="1220"/>
      <c r="F171" s="1220"/>
      <c r="G171" s="332"/>
      <c r="I171" s="1058"/>
    </row>
    <row r="172" spans="1:9" ht="14.5" customHeight="1">
      <c r="A172" s="342"/>
      <c r="B172" s="342"/>
      <c r="C172" s="332"/>
      <c r="D172" s="1220"/>
      <c r="E172" s="1220"/>
      <c r="F172" s="1220"/>
      <c r="G172" s="332"/>
      <c r="I172" s="1058"/>
    </row>
    <row r="173" spans="1:9" ht="14.5" customHeight="1">
      <c r="A173" s="342"/>
      <c r="B173" s="342"/>
      <c r="C173" s="332"/>
      <c r="D173" s="1220"/>
      <c r="E173" s="1220"/>
      <c r="F173" s="1220"/>
      <c r="G173" s="332"/>
      <c r="I173" s="1058"/>
    </row>
    <row r="174" spans="1:9" ht="14.5" customHeight="1">
      <c r="A174" s="342"/>
      <c r="B174" s="342"/>
      <c r="C174" s="332"/>
      <c r="D174" s="1220"/>
      <c r="E174" s="1220"/>
      <c r="F174" s="1220"/>
      <c r="G174" s="332"/>
      <c r="I174" s="1058"/>
    </row>
    <row r="175" spans="1:9" ht="13.75" customHeight="1">
      <c r="A175" s="342"/>
      <c r="B175" s="342"/>
      <c r="C175" s="332"/>
      <c r="D175" s="1220"/>
      <c r="E175" s="1220"/>
      <c r="F175" s="1220"/>
      <c r="G175" s="332"/>
      <c r="I175" s="1058"/>
    </row>
    <row r="176" spans="1:9" ht="13.75" customHeight="1">
      <c r="A176" s="342"/>
      <c r="B176" s="342"/>
      <c r="C176" s="332"/>
      <c r="D176" s="332"/>
      <c r="E176" s="332"/>
      <c r="F176" s="332"/>
      <c r="G176" s="332"/>
      <c r="I176" s="1058"/>
    </row>
    <row r="177" spans="1:9" ht="13.75" customHeight="1">
      <c r="A177" s="342"/>
      <c r="B177" s="338" t="s">
        <v>309</v>
      </c>
      <c r="C177" s="332"/>
      <c r="D177" s="1220" t="s">
        <v>345</v>
      </c>
      <c r="E177" s="1220"/>
      <c r="F177" s="1220"/>
      <c r="G177" s="332"/>
      <c r="I177" s="1058"/>
    </row>
    <row r="178" spans="1:9" ht="13.75" customHeight="1">
      <c r="A178" s="342"/>
      <c r="B178" s="342"/>
      <c r="C178" s="332"/>
      <c r="D178" s="1220"/>
      <c r="E178" s="1220"/>
      <c r="F178" s="1220"/>
      <c r="G178" s="332"/>
      <c r="I178" s="1058"/>
    </row>
    <row r="179" spans="1:9" ht="13.75" customHeight="1">
      <c r="A179" s="342"/>
      <c r="B179" s="342"/>
      <c r="C179" s="332"/>
      <c r="D179" s="1220"/>
      <c r="E179" s="1220"/>
      <c r="F179" s="1220"/>
      <c r="G179" s="332"/>
      <c r="I179" s="1058"/>
    </row>
    <row r="180" spans="1:9" ht="13.75" customHeight="1">
      <c r="A180" s="342"/>
      <c r="B180" s="342"/>
      <c r="C180" s="332"/>
      <c r="D180" s="1220"/>
      <c r="E180" s="1220"/>
      <c r="F180" s="1220"/>
      <c r="G180" s="332"/>
      <c r="I180" s="1058"/>
    </row>
    <row r="181" spans="1:9" ht="13.75" customHeight="1">
      <c r="D181" s="1049"/>
      <c r="E181" s="1049"/>
      <c r="F181" s="1049"/>
      <c r="I181" s="1058"/>
    </row>
    <row r="182" spans="1:9" ht="13.75" customHeight="1">
      <c r="B182" s="338" t="s">
        <v>314</v>
      </c>
      <c r="D182" s="1244" t="s">
        <v>346</v>
      </c>
      <c r="E182" s="1244"/>
      <c r="F182" s="1244"/>
      <c r="I182" s="1058"/>
    </row>
    <row r="183" spans="1:9" ht="13.75" customHeight="1">
      <c r="D183" s="1244"/>
      <c r="E183" s="1244"/>
      <c r="F183" s="1244"/>
      <c r="I183" s="1058"/>
    </row>
    <row r="184" spans="1:9" ht="13.75" customHeight="1">
      <c r="D184" s="1244"/>
      <c r="E184" s="1244"/>
      <c r="F184" s="1244"/>
      <c r="I184" s="1058"/>
    </row>
    <row r="185" spans="1:9" ht="13.75" customHeight="1">
      <c r="A185" s="1058"/>
      <c r="B185" s="1058"/>
      <c r="E185" s="1049"/>
      <c r="F185" s="1049"/>
      <c r="I185" s="1058"/>
    </row>
    <row r="186" spans="1:9">
      <c r="A186" s="1243" t="s">
        <v>347</v>
      </c>
      <c r="B186" s="1243"/>
      <c r="C186" s="1243"/>
      <c r="D186" s="1243"/>
      <c r="E186" s="1243"/>
      <c r="F186" s="1243"/>
      <c r="G186" s="1243"/>
      <c r="H186" s="811"/>
      <c r="I186" s="933"/>
    </row>
    <row r="187" spans="1:9" ht="12" customHeight="1">
      <c r="D187" s="1049"/>
      <c r="E187" s="1049"/>
      <c r="F187" s="1049"/>
      <c r="I187" s="1058"/>
    </row>
    <row r="188" spans="1:9">
      <c r="B188" s="1246" t="s">
        <v>348</v>
      </c>
      <c r="C188" s="1246"/>
      <c r="D188" s="1246"/>
      <c r="E188" s="1246"/>
      <c r="F188" s="1246"/>
      <c r="I188" s="1058"/>
    </row>
    <row r="189" spans="1:9">
      <c r="B189" s="1052" t="s">
        <v>349</v>
      </c>
      <c r="C189" s="1052"/>
      <c r="D189" s="1052"/>
      <c r="E189" s="1052"/>
      <c r="F189" s="1052"/>
      <c r="I189" s="1058"/>
    </row>
    <row r="190" spans="1:9" ht="12" customHeight="1">
      <c r="A190" s="1061"/>
      <c r="B190" s="1061"/>
      <c r="C190" s="1061"/>
      <c r="I190" s="1058"/>
    </row>
    <row r="191" spans="1:9">
      <c r="A191" s="1243" t="s">
        <v>350</v>
      </c>
      <c r="B191" s="1243"/>
      <c r="C191" s="1243"/>
      <c r="D191" s="1243"/>
      <c r="E191" s="1243"/>
      <c r="F191" s="1243"/>
      <c r="G191" s="1243"/>
      <c r="H191" s="811"/>
      <c r="I191" s="933"/>
    </row>
    <row r="192" spans="1:9" ht="12" customHeight="1">
      <c r="A192" s="274"/>
      <c r="B192" s="274"/>
      <c r="E192" s="274"/>
      <c r="I192" s="1058"/>
    </row>
    <row r="193" spans="1:9" ht="13.75" customHeight="1">
      <c r="A193" s="274"/>
      <c r="B193" s="274"/>
      <c r="D193" s="1242" t="s">
        <v>351</v>
      </c>
      <c r="E193" s="1242"/>
      <c r="F193" s="1242"/>
      <c r="I193" s="1058"/>
    </row>
    <row r="194" spans="1:9">
      <c r="A194" s="274"/>
      <c r="B194" s="274"/>
      <c r="D194" s="1242"/>
      <c r="E194" s="1242"/>
      <c r="F194" s="1242"/>
      <c r="I194" s="1058"/>
    </row>
    <row r="195" spans="1:9">
      <c r="A195" s="274"/>
      <c r="B195" s="274"/>
      <c r="D195" s="1246" t="s">
        <v>352</v>
      </c>
      <c r="E195" s="1246"/>
      <c r="F195" s="1246"/>
      <c r="I195" s="1058"/>
    </row>
    <row r="196" spans="1:9">
      <c r="A196" s="274"/>
      <c r="B196" s="274"/>
      <c r="D196" s="1052"/>
      <c r="E196" s="1052"/>
      <c r="F196" s="1052"/>
      <c r="I196" s="1058"/>
    </row>
    <row r="197" spans="1:9">
      <c r="A197" s="274"/>
      <c r="B197" s="338" t="s">
        <v>314</v>
      </c>
      <c r="D197" s="1257" t="s">
        <v>353</v>
      </c>
      <c r="E197" s="1257"/>
      <c r="F197" s="1257"/>
      <c r="I197" s="1058"/>
    </row>
    <row r="198" spans="1:9">
      <c r="A198" s="274"/>
      <c r="B198" s="274"/>
      <c r="D198" s="1258" t="s">
        <v>354</v>
      </c>
      <c r="E198" s="1258"/>
      <c r="F198" s="1258"/>
      <c r="I198" s="1058"/>
    </row>
    <row r="199" spans="1:9">
      <c r="A199" s="274"/>
      <c r="B199" s="274"/>
      <c r="D199" s="55" t="s">
        <v>355</v>
      </c>
      <c r="E199" s="1259" t="s">
        <v>356</v>
      </c>
      <c r="F199" s="1259"/>
      <c r="I199" s="1058"/>
    </row>
    <row r="200" spans="1:9">
      <c r="A200" s="274"/>
      <c r="B200" s="274"/>
      <c r="D200" s="2"/>
      <c r="E200" s="2"/>
      <c r="F200" s="2"/>
      <c r="I200" s="1058"/>
    </row>
    <row r="201" spans="1:9">
      <c r="A201" s="274"/>
      <c r="B201" s="338" t="s">
        <v>309</v>
      </c>
      <c r="D201" s="1258" t="s">
        <v>357</v>
      </c>
      <c r="E201" s="1258"/>
      <c r="F201" s="1258"/>
      <c r="I201" s="1058"/>
    </row>
    <row r="202" spans="1:9">
      <c r="A202" s="274"/>
      <c r="B202" s="274"/>
      <c r="D202" s="1257" t="s">
        <v>354</v>
      </c>
      <c r="E202" s="1257"/>
      <c r="F202" s="1257"/>
      <c r="I202" s="1058"/>
    </row>
    <row r="203" spans="1:9">
      <c r="A203" s="274"/>
      <c r="B203" s="274"/>
      <c r="D203" s="38" t="s">
        <v>358</v>
      </c>
      <c r="E203" s="1259" t="s">
        <v>359</v>
      </c>
      <c r="F203" s="1259"/>
      <c r="I203" s="1058"/>
    </row>
    <row r="204" spans="1:9">
      <c r="A204" s="274"/>
      <c r="B204" s="274"/>
      <c r="D204" s="2"/>
      <c r="E204" s="2"/>
      <c r="F204" s="2"/>
      <c r="I204" s="1058"/>
    </row>
    <row r="205" spans="1:9">
      <c r="A205" s="274"/>
      <c r="B205" s="338" t="s">
        <v>314</v>
      </c>
      <c r="D205" s="1258" t="s">
        <v>360</v>
      </c>
      <c r="E205" s="1258"/>
      <c r="F205" s="1258"/>
      <c r="I205" s="1058"/>
    </row>
    <row r="206" spans="1:9">
      <c r="A206" s="274"/>
      <c r="B206" s="274"/>
      <c r="D206" s="1257" t="s">
        <v>354</v>
      </c>
      <c r="E206" s="1257"/>
      <c r="F206" s="1257"/>
      <c r="I206" s="1058"/>
    </row>
    <row r="207" spans="1:9">
      <c r="A207" s="274"/>
      <c r="B207" s="274"/>
      <c r="D207" s="38" t="s">
        <v>355</v>
      </c>
      <c r="E207" s="1259" t="s">
        <v>361</v>
      </c>
      <c r="F207" s="1259"/>
      <c r="I207" s="1058"/>
    </row>
    <row r="208" spans="1:9">
      <c r="A208" s="274"/>
      <c r="B208" s="274"/>
      <c r="D208" s="1052"/>
      <c r="E208" s="1052"/>
      <c r="F208" s="1052"/>
      <c r="I208" s="1058"/>
    </row>
    <row r="209" spans="1:9" ht="14.25" customHeight="1">
      <c r="A209" s="337"/>
      <c r="B209" s="338" t="s">
        <v>314</v>
      </c>
      <c r="D209" s="258" t="s">
        <v>362</v>
      </c>
      <c r="E209" s="1056"/>
      <c r="F209" s="1056"/>
      <c r="I209" s="1058"/>
    </row>
    <row r="210" spans="1:9">
      <c r="A210" s="337"/>
      <c r="B210" s="337"/>
      <c r="D210" s="1257" t="s">
        <v>354</v>
      </c>
      <c r="E210" s="1257"/>
      <c r="F210" s="1257"/>
      <c r="I210" s="1058"/>
    </row>
    <row r="211" spans="1:9">
      <c r="D211" s="1056"/>
      <c r="E211" s="1259" t="s">
        <v>363</v>
      </c>
      <c r="F211" s="1259"/>
      <c r="I211" s="1058"/>
    </row>
    <row r="212" spans="1:9">
      <c r="D212" s="1057"/>
      <c r="I212" s="1058"/>
    </row>
    <row r="213" spans="1:9">
      <c r="B213" s="338" t="s">
        <v>314</v>
      </c>
      <c r="D213" s="1258" t="s">
        <v>364</v>
      </c>
      <c r="E213" s="1258"/>
      <c r="F213" s="1258"/>
      <c r="I213" s="1058"/>
    </row>
    <row r="214" spans="1:9">
      <c r="D214" s="1257" t="s">
        <v>354</v>
      </c>
      <c r="E214" s="1257"/>
      <c r="F214" s="1257"/>
      <c r="I214" s="1058"/>
    </row>
    <row r="215" spans="1:9">
      <c r="D215" s="38" t="s">
        <v>355</v>
      </c>
      <c r="E215" s="1259" t="s">
        <v>365</v>
      </c>
      <c r="F215" s="1259"/>
      <c r="I215" s="1058"/>
    </row>
    <row r="216" spans="1:9">
      <c r="D216" s="1035"/>
      <c r="E216" s="1035"/>
      <c r="F216" s="1035"/>
      <c r="I216" s="1058"/>
    </row>
    <row r="217" spans="1:9">
      <c r="A217" s="337"/>
      <c r="B217" s="338" t="s">
        <v>314</v>
      </c>
      <c r="D217" s="1240" t="s">
        <v>366</v>
      </c>
      <c r="E217" s="1240"/>
      <c r="F217" s="1240"/>
      <c r="I217" s="1058"/>
    </row>
    <row r="218" spans="1:9" ht="14.5" customHeight="1">
      <c r="A218" s="337"/>
      <c r="B218" s="272"/>
      <c r="D218" s="1240"/>
      <c r="E218" s="1240"/>
      <c r="F218" s="1240"/>
      <c r="I218" s="1058"/>
    </row>
    <row r="219" spans="1:9">
      <c r="A219" s="337"/>
      <c r="D219" s="1240"/>
      <c r="E219" s="1240"/>
      <c r="F219" s="1240"/>
      <c r="I219" s="1058"/>
    </row>
    <row r="220" spans="1:9">
      <c r="A220" s="337"/>
      <c r="D220" s="1240"/>
      <c r="E220" s="1240"/>
      <c r="F220" s="1240"/>
      <c r="I220" s="1058"/>
    </row>
    <row r="221" spans="1:9">
      <c r="D221" s="1035"/>
      <c r="E221" s="1035"/>
      <c r="F221" s="1035"/>
      <c r="I221" s="1058"/>
    </row>
    <row r="222" spans="1:9">
      <c r="A222" s="1243" t="s">
        <v>367</v>
      </c>
      <c r="B222" s="1243"/>
      <c r="C222" s="1243"/>
      <c r="D222" s="1243"/>
      <c r="E222" s="1243"/>
      <c r="F222" s="1243"/>
      <c r="G222" s="1243"/>
      <c r="H222" s="811"/>
      <c r="I222" s="933"/>
    </row>
    <row r="223" spans="1:9" ht="12" customHeight="1">
      <c r="D223" s="1049"/>
      <c r="E223" s="1049"/>
      <c r="F223" s="1049"/>
      <c r="I223" s="1058"/>
    </row>
    <row r="224" spans="1:9">
      <c r="C224" s="339"/>
      <c r="D224" s="1248" t="s">
        <v>368</v>
      </c>
      <c r="E224" s="1248"/>
      <c r="F224" s="1248"/>
      <c r="I224" s="1058"/>
    </row>
    <row r="225" spans="1:9">
      <c r="A225" s="1061"/>
      <c r="B225" s="1061"/>
      <c r="C225" s="1061"/>
      <c r="D225" s="1241" t="s">
        <v>369</v>
      </c>
      <c r="E225" s="1241"/>
      <c r="F225" s="1241"/>
      <c r="I225" s="1058"/>
    </row>
    <row r="226" spans="1:9" ht="12" customHeight="1">
      <c r="A226" s="1058"/>
      <c r="B226" s="1058"/>
      <c r="C226" s="1058"/>
      <c r="I226" s="1058"/>
    </row>
    <row r="227" spans="1:9" ht="13.75" customHeight="1">
      <c r="A227" s="1058"/>
      <c r="C227" s="1058"/>
      <c r="D227" s="1248" t="s">
        <v>370</v>
      </c>
      <c r="E227" s="1248"/>
      <c r="F227" s="1248"/>
      <c r="I227" s="1058"/>
    </row>
    <row r="228" spans="1:9">
      <c r="A228" s="337"/>
      <c r="B228" s="338" t="s">
        <v>309</v>
      </c>
      <c r="D228" s="1240" t="s">
        <v>371</v>
      </c>
      <c r="E228" s="1240"/>
      <c r="F228" s="1240"/>
      <c r="I228" s="1058"/>
    </row>
    <row r="229" spans="1:9" ht="14.25" customHeight="1">
      <c r="A229" s="337"/>
      <c r="B229" s="337"/>
      <c r="D229" s="1240"/>
      <c r="E229" s="1240"/>
      <c r="F229" s="1240"/>
      <c r="I229" s="1058"/>
    </row>
    <row r="230" spans="1:9" ht="14.25" customHeight="1">
      <c r="A230" s="337"/>
      <c r="B230" s="337"/>
      <c r="D230" s="1240"/>
      <c r="E230" s="1240"/>
      <c r="F230" s="1240"/>
      <c r="I230" s="1058"/>
    </row>
    <row r="231" spans="1:9">
      <c r="A231" s="337"/>
      <c r="B231" s="337"/>
      <c r="D231" s="1240"/>
      <c r="E231" s="1240"/>
      <c r="F231" s="1240"/>
      <c r="I231" s="1058"/>
    </row>
    <row r="232" spans="1:9">
      <c r="A232" s="337"/>
      <c r="B232" s="337"/>
      <c r="D232" s="1050"/>
      <c r="E232" s="1050"/>
      <c r="F232" s="1050"/>
      <c r="I232" s="1058"/>
    </row>
    <row r="233" spans="1:9">
      <c r="A233" s="337"/>
      <c r="B233" s="338" t="s">
        <v>309</v>
      </c>
      <c r="D233" s="1240" t="s">
        <v>372</v>
      </c>
      <c r="E233" s="1240"/>
      <c r="F233" s="1240"/>
      <c r="I233" s="1058"/>
    </row>
    <row r="234" spans="1:9">
      <c r="A234" s="337"/>
      <c r="B234" s="337"/>
      <c r="D234" s="1240"/>
      <c r="E234" s="1240"/>
      <c r="F234" s="1240"/>
      <c r="I234" s="1058"/>
    </row>
    <row r="235" spans="1:9">
      <c r="A235" s="337"/>
      <c r="B235" s="337"/>
      <c r="D235" s="1240"/>
      <c r="E235" s="1240"/>
      <c r="F235" s="1240"/>
      <c r="I235" s="1058"/>
    </row>
    <row r="236" spans="1:9">
      <c r="A236" s="337"/>
      <c r="B236" s="337"/>
      <c r="D236" s="1240"/>
      <c r="E236" s="1240"/>
      <c r="F236" s="1240"/>
      <c r="I236" s="1058"/>
    </row>
    <row r="237" spans="1:9" ht="14.25" customHeight="1">
      <c r="A237" s="337"/>
      <c r="B237" s="337"/>
      <c r="D237" s="1240"/>
      <c r="E237" s="1240"/>
      <c r="F237" s="1240"/>
      <c r="I237" s="1058"/>
    </row>
    <row r="238" spans="1:9" ht="14.25" customHeight="1">
      <c r="A238" s="337"/>
      <c r="B238" s="337"/>
      <c r="D238" s="1050"/>
      <c r="E238" s="1050"/>
      <c r="F238" s="1050"/>
      <c r="I238" s="1058"/>
    </row>
    <row r="239" spans="1:9">
      <c r="A239" s="337"/>
      <c r="B239" s="337"/>
      <c r="D239" s="1240" t="s">
        <v>373</v>
      </c>
      <c r="E239" s="1240"/>
      <c r="F239" s="1240"/>
      <c r="I239" s="1058"/>
    </row>
    <row r="240" spans="1:9">
      <c r="A240" s="337"/>
      <c r="B240" s="337"/>
      <c r="D240" s="1240"/>
      <c r="E240" s="1240"/>
      <c r="F240" s="1240"/>
      <c r="I240" s="1058"/>
    </row>
    <row r="241" spans="1:9">
      <c r="A241" s="337"/>
      <c r="B241" s="337"/>
      <c r="D241" s="1240"/>
      <c r="E241" s="1240"/>
      <c r="F241" s="1240"/>
      <c r="I241" s="1058"/>
    </row>
    <row r="242" spans="1:9">
      <c r="A242" s="337"/>
      <c r="B242" s="337"/>
      <c r="D242" s="1240"/>
      <c r="E242" s="1240"/>
      <c r="F242" s="1240"/>
      <c r="I242" s="1058"/>
    </row>
    <row r="243" spans="1:9">
      <c r="A243" s="337"/>
      <c r="B243" s="337"/>
      <c r="D243" s="1240"/>
      <c r="E243" s="1240"/>
      <c r="F243" s="1240"/>
      <c r="I243" s="1058"/>
    </row>
    <row r="244" spans="1:9">
      <c r="A244" s="337"/>
      <c r="B244" s="337"/>
      <c r="D244" s="1049"/>
      <c r="E244" s="1049"/>
      <c r="F244" s="1049"/>
      <c r="I244" s="1058"/>
    </row>
    <row r="245" spans="1:9">
      <c r="A245" s="337"/>
      <c r="B245" s="338" t="s">
        <v>314</v>
      </c>
      <c r="D245" s="1240" t="s">
        <v>374</v>
      </c>
      <c r="E245" s="1240"/>
      <c r="F245" s="1240"/>
      <c r="I245" s="1058"/>
    </row>
    <row r="246" spans="1:9">
      <c r="A246" s="337"/>
      <c r="B246" s="337"/>
      <c r="D246" s="1240"/>
      <c r="E246" s="1240"/>
      <c r="F246" s="1240"/>
      <c r="I246" s="1058"/>
    </row>
    <row r="247" spans="1:9">
      <c r="A247" s="337"/>
      <c r="B247" s="337"/>
      <c r="D247" s="1240"/>
      <c r="E247" s="1240"/>
      <c r="F247" s="1240"/>
      <c r="I247" s="1058"/>
    </row>
    <row r="248" spans="1:9">
      <c r="A248" s="337"/>
      <c r="B248" s="337"/>
      <c r="E248" s="819" t="s">
        <v>375</v>
      </c>
      <c r="I248" s="1058"/>
    </row>
    <row r="249" spans="1:9">
      <c r="A249" s="337"/>
      <c r="B249" s="337"/>
      <c r="D249" s="1049"/>
      <c r="E249" s="1049"/>
      <c r="F249" s="1049"/>
      <c r="I249" s="1058"/>
    </row>
    <row r="250" spans="1:9" ht="14.5" customHeight="1">
      <c r="A250" s="337"/>
      <c r="B250" s="338" t="s">
        <v>314</v>
      </c>
      <c r="D250" s="1240" t="s">
        <v>376</v>
      </c>
      <c r="E250" s="1240"/>
      <c r="F250" s="1240"/>
      <c r="I250" s="1058"/>
    </row>
    <row r="251" spans="1:9">
      <c r="A251" s="337"/>
      <c r="B251" s="337"/>
      <c r="D251" s="1240"/>
      <c r="E251" s="1240"/>
      <c r="F251" s="1240"/>
      <c r="I251" s="1058"/>
    </row>
    <row r="252" spans="1:9">
      <c r="A252" s="337"/>
      <c r="B252" s="337"/>
      <c r="D252" s="1240"/>
      <c r="E252" s="1240"/>
      <c r="F252" s="1240"/>
      <c r="I252" s="1058"/>
    </row>
    <row r="253" spans="1:9">
      <c r="A253" s="337"/>
      <c r="B253" s="337"/>
      <c r="D253" s="1240"/>
      <c r="E253" s="1240"/>
      <c r="F253" s="1240"/>
      <c r="I253" s="1058"/>
    </row>
    <row r="254" spans="1:9">
      <c r="A254" s="337"/>
      <c r="B254" s="337"/>
      <c r="D254" s="1240"/>
      <c r="E254" s="1240"/>
      <c r="F254" s="1240"/>
      <c r="I254" s="1058"/>
    </row>
    <row r="255" spans="1:9">
      <c r="A255" s="337"/>
      <c r="B255" s="337"/>
      <c r="D255" s="1050"/>
      <c r="E255" s="1050"/>
      <c r="F255" s="1050"/>
      <c r="I255" s="1058"/>
    </row>
    <row r="256" spans="1:9">
      <c r="A256" s="337"/>
      <c r="B256" s="338" t="s">
        <v>309</v>
      </c>
      <c r="D256" s="1052" t="s">
        <v>377</v>
      </c>
      <c r="E256" s="1050"/>
      <c r="F256" s="1050"/>
      <c r="I256" s="1058"/>
    </row>
    <row r="257" spans="1:9">
      <c r="A257" s="337"/>
      <c r="B257" s="337"/>
      <c r="E257" s="819" t="s">
        <v>378</v>
      </c>
      <c r="I257" s="1058"/>
    </row>
    <row r="258" spans="1:9">
      <c r="D258" s="1049"/>
      <c r="E258" s="1049"/>
      <c r="F258" s="1049"/>
      <c r="I258" s="1058"/>
    </row>
    <row r="259" spans="1:9">
      <c r="A259" s="337"/>
      <c r="B259" s="338" t="s">
        <v>309</v>
      </c>
      <c r="D259" s="1240" t="s">
        <v>379</v>
      </c>
      <c r="E259" s="1240"/>
      <c r="F259" s="1240"/>
      <c r="I259" s="1058"/>
    </row>
    <row r="260" spans="1:9">
      <c r="A260" s="337"/>
      <c r="B260" s="337"/>
      <c r="D260" s="1240"/>
      <c r="E260" s="1240"/>
      <c r="F260" s="1240"/>
      <c r="I260" s="1058"/>
    </row>
    <row r="261" spans="1:9">
      <c r="D261" s="343"/>
      <c r="I261" s="1058"/>
    </row>
    <row r="262" spans="1:9">
      <c r="A262" s="1243" t="s">
        <v>380</v>
      </c>
      <c r="B262" s="1243"/>
      <c r="C262" s="1243"/>
      <c r="D262" s="1243"/>
      <c r="E262" s="1243"/>
      <c r="F262" s="1243"/>
      <c r="G262" s="1243"/>
      <c r="H262" s="811"/>
      <c r="I262" s="933"/>
    </row>
    <row r="263" spans="1:9">
      <c r="D263" s="343"/>
      <c r="I263" s="1058"/>
    </row>
    <row r="264" spans="1:9">
      <c r="C264" s="339"/>
      <c r="D264" s="1248" t="s">
        <v>381</v>
      </c>
      <c r="E264" s="1248"/>
      <c r="F264" s="1248"/>
      <c r="I264" s="1058"/>
    </row>
    <row r="265" spans="1:9">
      <c r="A265" s="1061"/>
      <c r="B265" s="1061"/>
      <c r="C265" s="1061"/>
      <c r="D265" s="1049"/>
      <c r="E265" s="1049"/>
      <c r="F265" s="1049"/>
      <c r="I265" s="1058"/>
    </row>
    <row r="266" spans="1:9">
      <c r="A266" s="336"/>
      <c r="B266" s="336"/>
      <c r="C266" s="336"/>
      <c r="D266" s="1248" t="s">
        <v>382</v>
      </c>
      <c r="E266" s="1248"/>
      <c r="F266" s="1248"/>
      <c r="I266" s="1058"/>
    </row>
    <row r="267" spans="1:9" ht="14.5" customHeight="1">
      <c r="A267" s="337"/>
      <c r="B267" s="338" t="s">
        <v>309</v>
      </c>
      <c r="D267" s="1240" t="s">
        <v>383</v>
      </c>
      <c r="E267" s="1240"/>
      <c r="F267" s="1240"/>
      <c r="I267" s="1058"/>
    </row>
    <row r="268" spans="1:9">
      <c r="D268" s="1240"/>
      <c r="E268" s="1240"/>
      <c r="F268" s="1240"/>
      <c r="I268" s="1058"/>
    </row>
    <row r="269" spans="1:9">
      <c r="E269" s="819" t="s">
        <v>384</v>
      </c>
      <c r="I269" s="1058"/>
    </row>
    <row r="270" spans="1:9">
      <c r="D270" s="1049"/>
      <c r="E270" s="1049"/>
      <c r="F270" s="1049"/>
      <c r="I270" s="1058"/>
    </row>
    <row r="271" spans="1:9" ht="14.5" customHeight="1">
      <c r="A271" s="337"/>
      <c r="B271" s="338" t="s">
        <v>314</v>
      </c>
      <c r="D271" s="1240" t="s">
        <v>385</v>
      </c>
      <c r="E271" s="1240"/>
      <c r="F271" s="1240"/>
      <c r="I271" s="1058"/>
    </row>
    <row r="272" spans="1:9">
      <c r="D272" s="1240"/>
      <c r="E272" s="1240"/>
      <c r="F272" s="1240"/>
      <c r="I272" s="1058"/>
    </row>
    <row r="273" spans="1:9">
      <c r="D273" s="1240"/>
      <c r="E273" s="1240"/>
      <c r="F273" s="1240"/>
      <c r="I273" s="1058"/>
    </row>
    <row r="274" spans="1:9">
      <c r="D274" s="1240"/>
      <c r="E274" s="1240"/>
      <c r="F274" s="1240"/>
      <c r="I274" s="1058"/>
    </row>
    <row r="275" spans="1:9">
      <c r="D275" s="1240"/>
      <c r="E275" s="1240"/>
      <c r="F275" s="1240"/>
      <c r="I275" s="1058"/>
    </row>
    <row r="276" spans="1:9">
      <c r="D276" s="1240"/>
      <c r="E276" s="1240"/>
      <c r="F276" s="1240"/>
      <c r="I276" s="1058"/>
    </row>
    <row r="277" spans="1:9">
      <c r="D277" s="1049"/>
      <c r="E277" s="1049"/>
      <c r="F277" s="1049"/>
      <c r="I277" s="1058"/>
    </row>
    <row r="278" spans="1:9">
      <c r="A278" s="337"/>
      <c r="B278" s="338" t="s">
        <v>314</v>
      </c>
      <c r="D278" s="1240" t="s">
        <v>386</v>
      </c>
      <c r="E278" s="1240"/>
      <c r="F278" s="1240"/>
      <c r="I278" s="1058"/>
    </row>
    <row r="279" spans="1:9">
      <c r="D279" s="1240"/>
      <c r="E279" s="1240"/>
      <c r="F279" s="1240"/>
      <c r="I279" s="1058"/>
    </row>
    <row r="280" spans="1:9">
      <c r="D280" s="1240"/>
      <c r="E280" s="1240"/>
      <c r="F280" s="1240"/>
      <c r="I280" s="1058"/>
    </row>
    <row r="281" spans="1:9">
      <c r="D281" s="344"/>
      <c r="E281" s="1049"/>
      <c r="F281" s="1049"/>
      <c r="I281" s="1058"/>
    </row>
    <row r="282" spans="1:9">
      <c r="A282" s="1243" t="s">
        <v>387</v>
      </c>
      <c r="B282" s="1243"/>
      <c r="C282" s="1243"/>
      <c r="D282" s="1243"/>
      <c r="E282" s="1243"/>
      <c r="F282" s="1243"/>
      <c r="G282" s="1243"/>
      <c r="H282" s="811"/>
      <c r="I282" s="933"/>
    </row>
    <row r="283" spans="1:9">
      <c r="D283" s="344"/>
      <c r="E283" s="1049"/>
      <c r="F283" s="1049"/>
      <c r="I283" s="1058"/>
    </row>
    <row r="284" spans="1:9">
      <c r="C284" s="1061"/>
      <c r="D284" s="1242" t="s">
        <v>388</v>
      </c>
      <c r="E284" s="1242"/>
      <c r="F284" s="1242"/>
      <c r="I284" s="1058"/>
    </row>
    <row r="285" spans="1:9">
      <c r="C285" s="1061"/>
      <c r="D285" s="1242"/>
      <c r="E285" s="1242"/>
      <c r="F285" s="1242"/>
      <c r="I285" s="1058"/>
    </row>
    <row r="286" spans="1:9">
      <c r="A286" s="336"/>
      <c r="B286" s="336"/>
      <c r="C286" s="336"/>
      <c r="D286" s="274"/>
      <c r="I286" s="1058"/>
    </row>
    <row r="287" spans="1:9">
      <c r="C287" s="336"/>
      <c r="D287" s="1248" t="s">
        <v>389</v>
      </c>
      <c r="E287" s="1248"/>
      <c r="F287" s="1248"/>
      <c r="I287" s="1058"/>
    </row>
    <row r="288" spans="1:9" ht="15.75" customHeight="1">
      <c r="A288" s="337"/>
      <c r="B288" s="337"/>
      <c r="D288" s="1255" t="s">
        <v>390</v>
      </c>
      <c r="E288" s="1255"/>
      <c r="F288" s="1255"/>
      <c r="I288" s="1058"/>
    </row>
    <row r="289" spans="1:9">
      <c r="E289" s="1049"/>
      <c r="F289" s="1049"/>
      <c r="I289" s="1058"/>
    </row>
    <row r="290" spans="1:9">
      <c r="A290" s="337"/>
      <c r="B290" s="338" t="s">
        <v>314</v>
      </c>
      <c r="D290" s="1240" t="s">
        <v>391</v>
      </c>
      <c r="E290" s="1240"/>
      <c r="F290" s="1240"/>
      <c r="I290" s="1058"/>
    </row>
    <row r="291" spans="1:9">
      <c r="A291" s="337"/>
      <c r="B291" s="337"/>
      <c r="D291" s="1240"/>
      <c r="E291" s="1240"/>
      <c r="F291" s="1240"/>
      <c r="I291" s="1058"/>
    </row>
    <row r="292" spans="1:9">
      <c r="D292" s="1049"/>
      <c r="E292" s="1049"/>
      <c r="F292" s="1049"/>
      <c r="I292" s="1058"/>
    </row>
    <row r="293" spans="1:9">
      <c r="A293" s="337"/>
      <c r="B293" s="338" t="s">
        <v>314</v>
      </c>
      <c r="D293" s="1240" t="s">
        <v>392</v>
      </c>
      <c r="E293" s="1240"/>
      <c r="F293" s="1240"/>
      <c r="I293" s="1058"/>
    </row>
    <row r="294" spans="1:9">
      <c r="A294" s="337"/>
      <c r="B294" s="337"/>
      <c r="D294" s="1240"/>
      <c r="E294" s="1240"/>
      <c r="F294" s="1240"/>
      <c r="I294" s="1058"/>
    </row>
    <row r="295" spans="1:9">
      <c r="A295" s="337"/>
      <c r="B295" s="337"/>
      <c r="D295" s="1240"/>
      <c r="E295" s="1240"/>
      <c r="F295" s="1240"/>
      <c r="I295" s="1058"/>
    </row>
    <row r="296" spans="1:9">
      <c r="D296" s="1049"/>
      <c r="E296" s="1049"/>
      <c r="F296" s="1049"/>
      <c r="I296" s="1058"/>
    </row>
    <row r="297" spans="1:9">
      <c r="A297" s="337"/>
      <c r="B297" s="338" t="s">
        <v>314</v>
      </c>
      <c r="D297" s="1240" t="s">
        <v>393</v>
      </c>
      <c r="E297" s="1240"/>
      <c r="F297" s="1240"/>
      <c r="I297" s="1058"/>
    </row>
    <row r="298" spans="1:9">
      <c r="A298" s="337"/>
      <c r="B298" s="337"/>
      <c r="D298" s="1240"/>
      <c r="E298" s="1240"/>
      <c r="F298" s="1240"/>
      <c r="I298" s="1058"/>
    </row>
    <row r="299" spans="1:9">
      <c r="A299" s="1058"/>
      <c r="B299" s="1058"/>
      <c r="E299" s="1049"/>
      <c r="F299" s="1049"/>
      <c r="I299" s="1058"/>
    </row>
    <row r="300" spans="1:9">
      <c r="A300" s="1243" t="s">
        <v>394</v>
      </c>
      <c r="B300" s="1243"/>
      <c r="C300" s="1243"/>
      <c r="D300" s="1243"/>
      <c r="E300" s="1243"/>
      <c r="F300" s="1243"/>
      <c r="G300" s="1243"/>
      <c r="H300" s="811"/>
      <c r="I300" s="933"/>
    </row>
    <row r="301" spans="1:9">
      <c r="A301" s="1058"/>
      <c r="B301" s="1058"/>
      <c r="D301" s="1049"/>
      <c r="E301" s="1049"/>
      <c r="F301" s="1049"/>
      <c r="I301" s="1058"/>
    </row>
    <row r="302" spans="1:9">
      <c r="C302" s="1058"/>
      <c r="D302" s="1248" t="s">
        <v>395</v>
      </c>
      <c r="E302" s="1248"/>
      <c r="F302" s="1248"/>
      <c r="I302" s="1058"/>
    </row>
    <row r="303" spans="1:9">
      <c r="C303" s="1058"/>
      <c r="D303" s="1241" t="s">
        <v>396</v>
      </c>
      <c r="E303" s="1241"/>
      <c r="F303" s="1241"/>
      <c r="I303" s="1058"/>
    </row>
    <row r="304" spans="1:9">
      <c r="C304" s="1058"/>
      <c r="D304" s="345"/>
      <c r="I304" s="1058"/>
    </row>
    <row r="305" spans="1:9">
      <c r="B305" s="338" t="s">
        <v>314</v>
      </c>
      <c r="D305" s="1241" t="s">
        <v>397</v>
      </c>
      <c r="E305" s="1241"/>
      <c r="F305" s="1241"/>
      <c r="I305" s="1058"/>
    </row>
    <row r="306" spans="1:9">
      <c r="A306" s="337"/>
      <c r="B306" s="337"/>
      <c r="D306" s="346"/>
      <c r="E306" s="347"/>
      <c r="F306" s="347"/>
      <c r="I306" s="1058"/>
    </row>
    <row r="307" spans="1:9" ht="13.75" customHeight="1">
      <c r="B307" s="338" t="s">
        <v>314</v>
      </c>
      <c r="D307" s="1250" t="s">
        <v>398</v>
      </c>
      <c r="E307" s="1250"/>
      <c r="F307" s="1250"/>
      <c r="I307" s="1058"/>
    </row>
    <row r="308" spans="1:9">
      <c r="A308" s="337"/>
      <c r="B308" s="337"/>
      <c r="D308" s="1250"/>
      <c r="E308" s="1250"/>
      <c r="F308" s="1250"/>
      <c r="I308" s="1058"/>
    </row>
    <row r="309" spans="1:9">
      <c r="A309" s="337"/>
      <c r="B309" s="337"/>
      <c r="D309" s="1250"/>
      <c r="E309" s="1250"/>
      <c r="F309" s="1250"/>
      <c r="I309" s="1058"/>
    </row>
    <row r="310" spans="1:9">
      <c r="A310" s="337"/>
      <c r="B310" s="337"/>
      <c r="D310" s="1250"/>
      <c r="E310" s="1250"/>
      <c r="F310" s="1250"/>
      <c r="I310" s="1058"/>
    </row>
    <row r="311" spans="1:9">
      <c r="A311" s="337"/>
      <c r="B311" s="337"/>
      <c r="D311" s="1250"/>
      <c r="E311" s="1250"/>
      <c r="F311" s="1250"/>
      <c r="I311" s="1058"/>
    </row>
    <row r="312" spans="1:9">
      <c r="A312" s="337"/>
      <c r="B312" s="337"/>
      <c r="D312" s="346"/>
      <c r="E312" s="347"/>
      <c r="F312" s="347"/>
      <c r="I312" s="1058"/>
    </row>
    <row r="313" spans="1:9" ht="13.75" customHeight="1">
      <c r="B313" s="338" t="s">
        <v>314</v>
      </c>
      <c r="D313" s="1250" t="s">
        <v>399</v>
      </c>
      <c r="E313" s="1250"/>
      <c r="F313" s="1250"/>
      <c r="I313" s="1058"/>
    </row>
    <row r="314" spans="1:9">
      <c r="D314" s="1250"/>
      <c r="E314" s="1250"/>
      <c r="F314" s="1250"/>
      <c r="I314" s="1058"/>
    </row>
    <row r="315" spans="1:9">
      <c r="A315" s="337"/>
      <c r="B315" s="337"/>
      <c r="D315" s="346"/>
      <c r="E315" s="347"/>
      <c r="F315" s="347"/>
      <c r="I315" s="1058"/>
    </row>
    <row r="316" spans="1:9">
      <c r="B316" s="338" t="s">
        <v>314</v>
      </c>
      <c r="D316" s="1241" t="s">
        <v>400</v>
      </c>
      <c r="E316" s="1241"/>
      <c r="F316" s="1241"/>
      <c r="I316" s="1058"/>
    </row>
    <row r="317" spans="1:9">
      <c r="E317" s="1049"/>
      <c r="F317" s="1049"/>
      <c r="I317" s="1058"/>
    </row>
    <row r="318" spans="1:9">
      <c r="A318" s="337"/>
      <c r="B318" s="338" t="s">
        <v>314</v>
      </c>
      <c r="D318" s="1240" t="s">
        <v>401</v>
      </c>
      <c r="E318" s="1240"/>
      <c r="F318" s="1240"/>
      <c r="I318" s="1058"/>
    </row>
    <row r="319" spans="1:9">
      <c r="A319" s="337"/>
      <c r="B319" s="337"/>
      <c r="D319" s="1240"/>
      <c r="E319" s="1240"/>
      <c r="F319" s="1240"/>
      <c r="I319" s="1058"/>
    </row>
    <row r="320" spans="1:9">
      <c r="A320" s="337"/>
      <c r="B320" s="337"/>
      <c r="D320" s="1240"/>
      <c r="E320" s="1240"/>
      <c r="F320" s="1240"/>
      <c r="I320" s="1058"/>
    </row>
    <row r="321" spans="1:9">
      <c r="A321" s="337"/>
      <c r="B321" s="337"/>
      <c r="D321" s="1240"/>
      <c r="E321" s="1240"/>
      <c r="F321" s="1240"/>
      <c r="I321" s="1058"/>
    </row>
    <row r="322" spans="1:9">
      <c r="A322" s="337"/>
      <c r="B322" s="337"/>
      <c r="D322" s="1240"/>
      <c r="E322" s="1240"/>
      <c r="F322" s="1240"/>
      <c r="I322" s="1058"/>
    </row>
    <row r="323" spans="1:9">
      <c r="A323" s="337"/>
      <c r="B323" s="337"/>
      <c r="D323" s="1240"/>
      <c r="E323" s="1240"/>
      <c r="F323" s="1240"/>
      <c r="I323" s="1058"/>
    </row>
    <row r="324" spans="1:9">
      <c r="A324" s="337"/>
      <c r="B324" s="337"/>
      <c r="D324" s="1240"/>
      <c r="E324" s="1240"/>
      <c r="F324" s="1240"/>
      <c r="I324" s="1058"/>
    </row>
    <row r="325" spans="1:9">
      <c r="A325" s="337"/>
      <c r="B325" s="337"/>
      <c r="D325" s="1240"/>
      <c r="E325" s="1240"/>
      <c r="F325" s="1240"/>
      <c r="I325" s="1058"/>
    </row>
    <row r="326" spans="1:9">
      <c r="A326" s="337"/>
      <c r="B326" s="337"/>
      <c r="D326" s="1240"/>
      <c r="E326" s="1240"/>
      <c r="F326" s="1240"/>
      <c r="I326" s="1058"/>
    </row>
    <row r="327" spans="1:9">
      <c r="A327" s="337"/>
      <c r="B327" s="337"/>
      <c r="D327" s="1240"/>
      <c r="E327" s="1240"/>
      <c r="F327" s="1240"/>
      <c r="I327" s="1058"/>
    </row>
    <row r="328" spans="1:9">
      <c r="A328" s="337"/>
      <c r="B328" s="337"/>
      <c r="D328" s="1240"/>
      <c r="E328" s="1240"/>
      <c r="F328" s="1240"/>
      <c r="I328" s="1058"/>
    </row>
    <row r="329" spans="1:9">
      <c r="A329" s="337"/>
      <c r="B329" s="337"/>
      <c r="D329" s="1240"/>
      <c r="E329" s="1240"/>
      <c r="F329" s="1240"/>
      <c r="I329" s="1058"/>
    </row>
    <row r="330" spans="1:9">
      <c r="A330" s="337"/>
      <c r="B330" s="337"/>
      <c r="D330" s="1240"/>
      <c r="E330" s="1240"/>
      <c r="F330" s="1240"/>
      <c r="I330" s="1058"/>
    </row>
    <row r="331" spans="1:9">
      <c r="A331" s="337"/>
      <c r="B331" s="337"/>
      <c r="D331" s="1240"/>
      <c r="E331" s="1240"/>
      <c r="F331" s="1240"/>
      <c r="I331" s="1058"/>
    </row>
    <row r="332" spans="1:9">
      <c r="A332" s="337"/>
      <c r="B332" s="337"/>
      <c r="D332" s="1240"/>
      <c r="E332" s="1240"/>
      <c r="F332" s="1240"/>
      <c r="I332" s="1058"/>
    </row>
    <row r="333" spans="1:9">
      <c r="D333" s="1049"/>
      <c r="E333" s="1049"/>
      <c r="F333" s="1049"/>
      <c r="I333" s="1058"/>
    </row>
    <row r="334" spans="1:9">
      <c r="A334" s="337"/>
      <c r="B334" s="338" t="s">
        <v>314</v>
      </c>
      <c r="D334" s="1240" t="s">
        <v>402</v>
      </c>
      <c r="E334" s="1240"/>
      <c r="F334" s="1240"/>
      <c r="I334" s="1058"/>
    </row>
    <row r="335" spans="1:9">
      <c r="D335" s="1240"/>
      <c r="E335" s="1240"/>
      <c r="F335" s="1240"/>
      <c r="I335" s="1058"/>
    </row>
    <row r="336" spans="1:9">
      <c r="D336" s="1240"/>
      <c r="E336" s="1240"/>
      <c r="F336" s="1240"/>
      <c r="I336" s="1058"/>
    </row>
    <row r="337" spans="1:9">
      <c r="D337" s="1240"/>
      <c r="E337" s="1240"/>
      <c r="F337" s="1240"/>
      <c r="I337" s="1058"/>
    </row>
    <row r="338" spans="1:9">
      <c r="D338" s="1240"/>
      <c r="E338" s="1240"/>
      <c r="F338" s="1240"/>
      <c r="I338" s="1058"/>
    </row>
    <row r="339" spans="1:9">
      <c r="D339" s="1240"/>
      <c r="E339" s="1240"/>
      <c r="F339" s="1240"/>
      <c r="I339" s="1058"/>
    </row>
    <row r="340" spans="1:9">
      <c r="D340" s="1240"/>
      <c r="E340" s="1240"/>
      <c r="F340" s="1240"/>
      <c r="I340" s="1058"/>
    </row>
    <row r="341" spans="1:9">
      <c r="D341" s="1240"/>
      <c r="E341" s="1240"/>
      <c r="F341" s="1240"/>
      <c r="I341" s="1058"/>
    </row>
    <row r="342" spans="1:9">
      <c r="D342" s="1240"/>
      <c r="E342" s="1240"/>
      <c r="F342" s="1240"/>
      <c r="I342" s="1058"/>
    </row>
    <row r="343" spans="1:9">
      <c r="D343" s="1049"/>
      <c r="E343" s="1049"/>
      <c r="F343" s="1049"/>
      <c r="I343" s="1058"/>
    </row>
    <row r="344" spans="1:9" ht="14.25" customHeight="1">
      <c r="A344" s="337"/>
      <c r="B344" s="338" t="s">
        <v>314</v>
      </c>
      <c r="D344" s="1240" t="s">
        <v>403</v>
      </c>
      <c r="E344" s="1240"/>
      <c r="F344" s="1240"/>
      <c r="I344" s="1058"/>
    </row>
    <row r="345" spans="1:9">
      <c r="D345" s="1240"/>
      <c r="E345" s="1240"/>
      <c r="F345" s="1240"/>
      <c r="I345" s="1058"/>
    </row>
    <row r="346" spans="1:9">
      <c r="D346" s="1240"/>
      <c r="E346" s="1240"/>
      <c r="F346" s="1240"/>
      <c r="I346" s="1058"/>
    </row>
    <row r="347" spans="1:9">
      <c r="D347" s="1240"/>
      <c r="E347" s="1240"/>
      <c r="F347" s="1240"/>
      <c r="I347" s="1058"/>
    </row>
    <row r="348" spans="1:9">
      <c r="D348" s="258" t="s">
        <v>354</v>
      </c>
      <c r="E348" s="1056"/>
      <c r="F348" s="1056"/>
      <c r="I348" s="1058"/>
    </row>
    <row r="349" spans="1:9">
      <c r="D349" s="1056"/>
      <c r="E349" s="55" t="s">
        <v>404</v>
      </c>
      <c r="G349" s="55"/>
      <c r="I349" s="1058"/>
    </row>
    <row r="350" spans="1:9">
      <c r="D350" s="1050"/>
      <c r="E350" s="1050"/>
      <c r="F350" s="1050"/>
      <c r="I350" s="1058"/>
    </row>
    <row r="351" spans="1:9" ht="13.5" thickBot="1">
      <c r="A351" s="806"/>
      <c r="B351" s="806"/>
      <c r="C351" s="806"/>
      <c r="D351" s="1253" t="s">
        <v>405</v>
      </c>
      <c r="E351" s="1253"/>
      <c r="F351" s="1253"/>
      <c r="G351" s="810"/>
      <c r="H351" s="810"/>
      <c r="I351" s="936"/>
    </row>
    <row r="352" spans="1:9" ht="13.5" thickTop="1">
      <c r="D352" s="1251" t="s">
        <v>406</v>
      </c>
      <c r="E352" s="1251"/>
      <c r="F352" s="1251"/>
      <c r="I352" s="1058"/>
    </row>
    <row r="353" spans="1:9">
      <c r="D353" s="1049"/>
      <c r="E353" s="1049"/>
      <c r="F353" s="1049"/>
      <c r="I353" s="1058"/>
    </row>
    <row r="354" spans="1:9">
      <c r="A354" s="332"/>
      <c r="B354" s="332"/>
      <c r="C354" s="332"/>
      <c r="D354" s="1057"/>
      <c r="E354" s="1057"/>
      <c r="F354" s="1049"/>
      <c r="I354" s="1058"/>
    </row>
    <row r="355" spans="1:9">
      <c r="A355" s="337"/>
      <c r="B355" s="338" t="s">
        <v>314</v>
      </c>
      <c r="C355" s="340"/>
      <c r="D355" s="1241" t="s">
        <v>407</v>
      </c>
      <c r="E355" s="1241"/>
      <c r="F355" s="1241"/>
      <c r="I355" s="1058"/>
    </row>
    <row r="356" spans="1:9" ht="12.75" customHeight="1">
      <c r="D356" s="820"/>
      <c r="E356" s="55" t="s">
        <v>408</v>
      </c>
      <c r="F356" s="820"/>
      <c r="I356" s="1058"/>
    </row>
    <row r="357" spans="1:9">
      <c r="D357" s="1240" t="s">
        <v>409</v>
      </c>
      <c r="E357" s="1240"/>
      <c r="F357" s="1240"/>
      <c r="I357" s="1058"/>
    </row>
    <row r="358" spans="1:9">
      <c r="D358" s="1240"/>
      <c r="E358" s="1240"/>
      <c r="F358" s="1240"/>
      <c r="I358" s="1058"/>
    </row>
    <row r="359" spans="1:9">
      <c r="D359" s="1240"/>
      <c r="E359" s="1240"/>
      <c r="F359" s="1240"/>
      <c r="I359" s="1058"/>
    </row>
    <row r="360" spans="1:9">
      <c r="A360" s="337"/>
      <c r="B360" s="338" t="s">
        <v>314</v>
      </c>
      <c r="C360" s="332"/>
      <c r="D360" s="1252" t="s">
        <v>410</v>
      </c>
      <c r="E360" s="1252"/>
      <c r="F360" s="1252"/>
      <c r="I360" s="335"/>
    </row>
    <row r="361" spans="1:9">
      <c r="A361" s="332"/>
      <c r="B361" s="332"/>
      <c r="C361" s="332"/>
      <c r="D361" s="1057"/>
      <c r="E361" s="1057"/>
      <c r="F361" s="1049"/>
      <c r="I361" s="1058"/>
    </row>
    <row r="362" spans="1:9">
      <c r="A362" s="332"/>
      <c r="B362" s="338" t="s">
        <v>314</v>
      </c>
      <c r="C362" s="332"/>
      <c r="D362" s="1220" t="s">
        <v>411</v>
      </c>
      <c r="E362" s="1220"/>
      <c r="F362" s="1220"/>
      <c r="I362" s="1058"/>
    </row>
    <row r="363" spans="1:9">
      <c r="A363" s="332"/>
      <c r="B363" s="332"/>
      <c r="C363" s="332"/>
      <c r="D363" s="1220"/>
      <c r="E363" s="1220"/>
      <c r="F363" s="1220"/>
      <c r="I363" s="1058"/>
    </row>
    <row r="364" spans="1:9">
      <c r="A364" s="332"/>
      <c r="B364" s="332"/>
      <c r="C364" s="332"/>
      <c r="D364" s="1220"/>
      <c r="E364" s="1220"/>
      <c r="F364" s="1220"/>
      <c r="I364" s="1058"/>
    </row>
    <row r="365" spans="1:9">
      <c r="A365" s="332"/>
      <c r="B365" s="332"/>
      <c r="C365" s="332"/>
      <c r="D365" s="1220"/>
      <c r="E365" s="1220"/>
      <c r="F365" s="1220"/>
      <c r="I365" s="1058"/>
    </row>
    <row r="366" spans="1:9">
      <c r="A366" s="332"/>
      <c r="B366" s="332"/>
      <c r="C366" s="332"/>
      <c r="D366" s="1220"/>
      <c r="E366" s="1220"/>
      <c r="F366" s="1220"/>
      <c r="I366" s="1058"/>
    </row>
    <row r="367" spans="1:9">
      <c r="A367" s="332"/>
      <c r="B367" s="332"/>
      <c r="C367" s="332"/>
      <c r="D367" s="1220"/>
      <c r="E367" s="1220"/>
      <c r="F367" s="1220"/>
      <c r="I367" s="1058"/>
    </row>
    <row r="368" spans="1:9">
      <c r="A368" s="332"/>
      <c r="B368" s="332"/>
      <c r="C368" s="332"/>
      <c r="D368" s="1220"/>
      <c r="E368" s="1220"/>
      <c r="F368" s="1220"/>
      <c r="I368" s="1058"/>
    </row>
    <row r="369" spans="1:9">
      <c r="A369" s="332"/>
      <c r="B369" s="332"/>
      <c r="C369" s="332"/>
      <c r="D369" s="1220"/>
      <c r="E369" s="1220"/>
      <c r="F369" s="1220"/>
      <c r="I369" s="1058"/>
    </row>
    <row r="370" spans="1:9">
      <c r="A370" s="332"/>
      <c r="B370" s="332"/>
      <c r="C370" s="332"/>
      <c r="D370" s="1220"/>
      <c r="E370" s="1220"/>
      <c r="F370" s="1220"/>
      <c r="I370" s="1058"/>
    </row>
    <row r="371" spans="1:9">
      <c r="A371" s="332"/>
      <c r="B371" s="332"/>
      <c r="C371" s="332"/>
      <c r="D371" s="1220"/>
      <c r="E371" s="1220"/>
      <c r="F371" s="1220"/>
      <c r="I371" s="1058"/>
    </row>
    <row r="372" spans="1:9">
      <c r="A372" s="332"/>
      <c r="B372" s="332"/>
      <c r="C372" s="332"/>
      <c r="D372" s="1220"/>
      <c r="E372" s="1220"/>
      <c r="F372" s="1220"/>
      <c r="I372" s="1058"/>
    </row>
    <row r="373" spans="1:9">
      <c r="A373" s="332"/>
      <c r="B373" s="332"/>
      <c r="C373" s="332"/>
      <c r="D373" s="1220"/>
      <c r="E373" s="1220"/>
      <c r="F373" s="1220"/>
      <c r="I373" s="1058"/>
    </row>
    <row r="374" spans="1:9">
      <c r="A374" s="332"/>
      <c r="B374" s="332"/>
      <c r="C374" s="332"/>
      <c r="D374" s="1035"/>
      <c r="E374" s="1035"/>
      <c r="F374" s="1035"/>
      <c r="I374" s="1058"/>
    </row>
    <row r="375" spans="1:9" ht="12.65" customHeight="1">
      <c r="A375" s="332"/>
      <c r="B375" s="338" t="s">
        <v>314</v>
      </c>
      <c r="C375" s="332"/>
      <c r="D375" s="1237" t="s">
        <v>412</v>
      </c>
      <c r="E375" s="1237"/>
      <c r="F375" s="1237"/>
      <c r="I375" s="1058"/>
    </row>
    <row r="376" spans="1:9">
      <c r="A376" s="332"/>
      <c r="B376" s="332"/>
      <c r="C376" s="332"/>
      <c r="D376" s="1237"/>
      <c r="E376" s="1237"/>
      <c r="F376" s="1237"/>
      <c r="I376" s="1058"/>
    </row>
    <row r="377" spans="1:9">
      <c r="A377" s="332"/>
      <c r="B377" s="332"/>
      <c r="C377" s="332"/>
      <c r="D377" s="1237"/>
      <c r="E377" s="1237"/>
      <c r="F377" s="1237"/>
      <c r="I377" s="1058"/>
    </row>
    <row r="378" spans="1:9">
      <c r="A378" s="332"/>
      <c r="B378" s="332"/>
      <c r="C378" s="332"/>
      <c r="D378" s="1237"/>
      <c r="E378" s="1237"/>
      <c r="F378" s="1237"/>
      <c r="I378" s="1058"/>
    </row>
    <row r="379" spans="1:9">
      <c r="A379" s="332"/>
      <c r="B379" s="332"/>
      <c r="C379" s="332"/>
      <c r="D379" s="1038"/>
      <c r="E379" s="1038"/>
      <c r="F379" s="1038"/>
      <c r="I379" s="1058"/>
    </row>
    <row r="380" spans="1:9">
      <c r="A380" s="332"/>
      <c r="B380" s="338" t="s">
        <v>314</v>
      </c>
      <c r="C380" s="332"/>
      <c r="D380" s="272" t="s">
        <v>413</v>
      </c>
      <c r="E380" s="1038"/>
      <c r="F380" s="1038"/>
      <c r="I380" s="1058"/>
    </row>
    <row r="381" spans="1:9">
      <c r="A381" s="332"/>
      <c r="B381" s="332"/>
      <c r="C381" s="332"/>
      <c r="D381" s="272" t="s">
        <v>414</v>
      </c>
      <c r="E381" s="1038"/>
      <c r="F381" s="1038"/>
      <c r="I381" s="1058"/>
    </row>
    <row r="382" spans="1:9">
      <c r="A382" s="332"/>
      <c r="B382" s="332"/>
      <c r="C382" s="332"/>
      <c r="D382" s="272" t="s">
        <v>415</v>
      </c>
      <c r="E382" s="1038"/>
      <c r="F382" s="1038"/>
      <c r="I382" s="1058"/>
    </row>
    <row r="383" spans="1:9">
      <c r="A383" s="332"/>
      <c r="B383" s="332"/>
      <c r="C383" s="332"/>
      <c r="D383" s="272" t="s">
        <v>416</v>
      </c>
      <c r="E383" s="1038"/>
      <c r="F383" s="1038"/>
      <c r="I383" s="1058"/>
    </row>
    <row r="384" spans="1:9">
      <c r="A384" s="332"/>
      <c r="B384" s="332"/>
      <c r="C384" s="332"/>
      <c r="D384" s="272" t="s">
        <v>417</v>
      </c>
      <c r="E384" s="1038"/>
      <c r="F384" s="1038"/>
      <c r="I384" s="1058"/>
    </row>
    <row r="385" spans="1:9">
      <c r="A385" s="332"/>
      <c r="B385" s="332"/>
      <c r="C385" s="332"/>
      <c r="D385" s="272" t="s">
        <v>418</v>
      </c>
      <c r="E385" s="1038"/>
      <c r="F385" s="1038"/>
      <c r="I385" s="1058"/>
    </row>
    <row r="386" spans="1:9">
      <c r="A386" s="332"/>
      <c r="B386" s="332"/>
      <c r="C386" s="332"/>
      <c r="E386" s="1057"/>
      <c r="F386" s="1049"/>
      <c r="I386" s="1058"/>
    </row>
    <row r="387" spans="1:9">
      <c r="A387" s="337"/>
      <c r="B387" s="338" t="s">
        <v>314</v>
      </c>
      <c r="C387" s="332"/>
      <c r="D387" s="1220" t="s">
        <v>419</v>
      </c>
      <c r="E387" s="1220"/>
      <c r="F387" s="1220"/>
      <c r="I387" s="1058"/>
    </row>
    <row r="388" spans="1:9">
      <c r="A388" s="332"/>
      <c r="B388" s="332"/>
      <c r="C388" s="332"/>
      <c r="D388" s="1220"/>
      <c r="E388" s="1220"/>
      <c r="F388" s="1220"/>
      <c r="I388" s="1058"/>
    </row>
    <row r="389" spans="1:9">
      <c r="A389" s="332"/>
      <c r="B389" s="332"/>
      <c r="C389" s="332"/>
      <c r="D389" s="1220"/>
      <c r="E389" s="1220"/>
      <c r="F389" s="1220"/>
      <c r="I389" s="1058"/>
    </row>
    <row r="390" spans="1:9">
      <c r="A390" s="332"/>
      <c r="B390" s="332"/>
      <c r="C390" s="332"/>
      <c r="D390" s="1220"/>
      <c r="E390" s="1220"/>
      <c r="F390" s="1220"/>
      <c r="I390" s="1058"/>
    </row>
    <row r="391" spans="1:9">
      <c r="A391" s="332"/>
      <c r="B391" s="332"/>
      <c r="C391" s="332"/>
      <c r="D391" s="1057"/>
      <c r="E391" s="1057"/>
      <c r="F391" s="1049"/>
      <c r="I391" s="1058"/>
    </row>
    <row r="392" spans="1:9">
      <c r="A392" s="332"/>
      <c r="B392" s="332"/>
      <c r="C392" s="332"/>
      <c r="D392" s="1220" t="s">
        <v>420</v>
      </c>
      <c r="E392" s="1220"/>
      <c r="F392" s="1220"/>
      <c r="I392" s="1058"/>
    </row>
    <row r="393" spans="1:9">
      <c r="A393" s="332"/>
      <c r="B393" s="332"/>
      <c r="C393" s="332"/>
      <c r="D393" s="1220"/>
      <c r="E393" s="1220"/>
      <c r="F393" s="1220"/>
      <c r="I393" s="1058"/>
    </row>
    <row r="394" spans="1:9">
      <c r="A394" s="332"/>
      <c r="B394" s="332"/>
      <c r="C394" s="332"/>
      <c r="D394" s="1220"/>
      <c r="E394" s="1220"/>
      <c r="F394" s="1220"/>
      <c r="I394" s="1058"/>
    </row>
    <row r="395" spans="1:9">
      <c r="A395" s="332"/>
      <c r="B395" s="332"/>
      <c r="C395" s="332"/>
      <c r="D395" s="1220"/>
      <c r="E395" s="1220"/>
      <c r="F395" s="1220"/>
      <c r="I395" s="1058"/>
    </row>
    <row r="396" spans="1:9" ht="18" customHeight="1">
      <c r="A396" s="332"/>
      <c r="B396" s="332"/>
      <c r="C396" s="332"/>
      <c r="D396" s="1220"/>
      <c r="E396" s="1220"/>
      <c r="F396" s="1220"/>
      <c r="I396" s="1058"/>
    </row>
    <row r="397" spans="1:9">
      <c r="A397" s="332"/>
      <c r="B397" s="332"/>
      <c r="C397" s="332"/>
      <c r="D397" s="1220"/>
      <c r="E397" s="1220"/>
      <c r="F397" s="1220"/>
      <c r="I397" s="1058"/>
    </row>
    <row r="398" spans="1:9">
      <c r="A398" s="332"/>
      <c r="B398" s="332"/>
      <c r="C398" s="332"/>
      <c r="D398" s="1220"/>
      <c r="E398" s="1220"/>
      <c r="F398" s="1220"/>
      <c r="I398" s="1058"/>
    </row>
    <row r="399" spans="1:9">
      <c r="A399" s="332"/>
      <c r="B399" s="332"/>
      <c r="C399" s="332"/>
      <c r="D399" s="1220"/>
      <c r="E399" s="1220"/>
      <c r="F399" s="1220"/>
      <c r="I399" s="1058"/>
    </row>
    <row r="400" spans="1:9" ht="8.25" customHeight="1">
      <c r="A400" s="332"/>
      <c r="B400" s="332"/>
      <c r="C400" s="332"/>
      <c r="D400" s="1220"/>
      <c r="E400" s="1220"/>
      <c r="F400" s="1220"/>
      <c r="I400" s="1058"/>
    </row>
    <row r="401" spans="1:9" ht="13.75" customHeight="1">
      <c r="A401" s="332"/>
      <c r="B401" s="332"/>
      <c r="C401" s="332"/>
      <c r="D401" s="1220" t="s">
        <v>421</v>
      </c>
      <c r="E401" s="1220"/>
      <c r="F401" s="1220"/>
      <c r="I401" s="1058"/>
    </row>
    <row r="402" spans="1:9">
      <c r="A402" s="332"/>
      <c r="B402" s="332"/>
      <c r="C402" s="332"/>
      <c r="D402" s="1220"/>
      <c r="E402" s="1220"/>
      <c r="F402" s="1220"/>
      <c r="I402" s="1058"/>
    </row>
    <row r="403" spans="1:9">
      <c r="A403" s="332"/>
      <c r="B403" s="332"/>
      <c r="C403" s="332"/>
      <c r="D403" s="1220"/>
      <c r="E403" s="1220"/>
      <c r="F403" s="1220"/>
      <c r="I403" s="1058"/>
    </row>
    <row r="404" spans="1:9">
      <c r="A404" s="332"/>
      <c r="B404" s="332"/>
      <c r="C404" s="332"/>
      <c r="D404" s="1220"/>
      <c r="E404" s="1220"/>
      <c r="F404" s="1220"/>
      <c r="I404" s="1058"/>
    </row>
    <row r="405" spans="1:9">
      <c r="A405" s="332"/>
      <c r="B405" s="332"/>
      <c r="C405" s="332"/>
      <c r="D405" s="1220"/>
      <c r="E405" s="1220"/>
      <c r="F405" s="1220"/>
      <c r="I405" s="1058"/>
    </row>
    <row r="406" spans="1:9">
      <c r="A406" s="332"/>
      <c r="B406" s="332"/>
      <c r="C406" s="332"/>
      <c r="D406" s="1220"/>
      <c r="E406" s="1220"/>
      <c r="F406" s="1220"/>
      <c r="I406" s="1058"/>
    </row>
    <row r="407" spans="1:9">
      <c r="A407" s="332"/>
      <c r="B407" s="332"/>
      <c r="C407" s="332"/>
      <c r="D407" s="1220"/>
      <c r="E407" s="1220"/>
      <c r="F407" s="1220"/>
      <c r="I407" s="1058"/>
    </row>
    <row r="408" spans="1:9">
      <c r="A408" s="332"/>
      <c r="B408" s="332"/>
      <c r="C408" s="332"/>
      <c r="D408" s="1220"/>
      <c r="E408" s="1220"/>
      <c r="F408" s="1220"/>
      <c r="I408" s="1058"/>
    </row>
    <row r="409" spans="1:9">
      <c r="A409" s="332"/>
      <c r="B409" s="332"/>
      <c r="C409" s="332"/>
      <c r="D409" s="1220"/>
      <c r="E409" s="1220"/>
      <c r="F409" s="1220"/>
      <c r="I409" s="1058"/>
    </row>
    <row r="410" spans="1:9">
      <c r="A410" s="332"/>
      <c r="B410" s="332"/>
      <c r="C410" s="332"/>
      <c r="D410" s="1220"/>
      <c r="E410" s="1220"/>
      <c r="F410" s="1220"/>
      <c r="I410" s="1058"/>
    </row>
    <row r="411" spans="1:9">
      <c r="A411" s="332"/>
      <c r="B411" s="332"/>
      <c r="C411" s="332"/>
      <c r="D411" s="1220"/>
      <c r="E411" s="1220"/>
      <c r="F411" s="1220"/>
      <c r="I411" s="1058"/>
    </row>
    <row r="412" spans="1:9">
      <c r="A412" s="332"/>
      <c r="B412" s="332"/>
      <c r="C412" s="332"/>
      <c r="D412" s="1220"/>
      <c r="E412" s="1220"/>
      <c r="F412" s="1220"/>
      <c r="I412" s="1058"/>
    </row>
    <row r="413" spans="1:9">
      <c r="A413" s="332"/>
      <c r="B413" s="332"/>
      <c r="C413" s="348"/>
      <c r="D413" s="1220"/>
      <c r="E413" s="1220"/>
      <c r="F413" s="1220"/>
      <c r="I413" s="1058"/>
    </row>
    <row r="414" spans="1:9">
      <c r="A414" s="332"/>
      <c r="B414" s="332"/>
      <c r="C414" s="348"/>
      <c r="D414" s="1220"/>
      <c r="E414" s="1220"/>
      <c r="F414" s="1220"/>
      <c r="I414" s="1058"/>
    </row>
    <row r="415" spans="1:9">
      <c r="A415" s="332"/>
      <c r="B415" s="332"/>
      <c r="C415" s="332"/>
      <c r="D415" s="1220"/>
      <c r="E415" s="1220"/>
      <c r="F415" s="1220"/>
      <c r="I415" s="1058"/>
    </row>
    <row r="416" spans="1:9">
      <c r="A416" s="332"/>
      <c r="B416" s="332"/>
      <c r="C416" s="348"/>
      <c r="D416" s="1220"/>
      <c r="E416" s="1220"/>
      <c r="F416" s="1220"/>
      <c r="I416" s="1058"/>
    </row>
    <row r="417" spans="1:9">
      <c r="A417" s="332"/>
      <c r="B417" s="332"/>
      <c r="C417" s="348"/>
      <c r="D417" s="1220"/>
      <c r="E417" s="1220"/>
      <c r="F417" s="1220"/>
      <c r="I417" s="1058"/>
    </row>
    <row r="418" spans="1:9">
      <c r="A418" s="332"/>
      <c r="B418" s="332"/>
      <c r="C418" s="348"/>
      <c r="D418" s="1220"/>
      <c r="E418" s="1220"/>
      <c r="F418" s="1220"/>
      <c r="I418" s="1058"/>
    </row>
    <row r="419" spans="1:9">
      <c r="A419" s="332"/>
      <c r="B419" s="332"/>
      <c r="C419" s="332"/>
      <c r="D419" s="1057"/>
      <c r="E419" s="1057"/>
      <c r="F419" s="1049"/>
      <c r="I419" s="1058"/>
    </row>
    <row r="420" spans="1:9">
      <c r="A420" s="332"/>
      <c r="B420" s="338" t="s">
        <v>314</v>
      </c>
      <c r="C420" s="332"/>
      <c r="D420" s="1220" t="s">
        <v>422</v>
      </c>
      <c r="E420" s="1220"/>
      <c r="F420" s="1220"/>
      <c r="I420" s="1058"/>
    </row>
    <row r="421" spans="1:9">
      <c r="A421" s="332"/>
      <c r="B421" s="332"/>
      <c r="C421" s="332"/>
      <c r="D421" s="1220"/>
      <c r="E421" s="1220"/>
      <c r="F421" s="1220"/>
      <c r="I421" s="1058"/>
    </row>
    <row r="422" spans="1:9">
      <c r="A422" s="332"/>
      <c r="B422" s="332"/>
      <c r="C422" s="332"/>
      <c r="D422" s="1035"/>
      <c r="E422" s="1035"/>
      <c r="F422" s="1035"/>
      <c r="I422" s="1058"/>
    </row>
    <row r="423" spans="1:9" ht="14.5" customHeight="1">
      <c r="A423" s="337"/>
      <c r="B423" s="338" t="s">
        <v>314</v>
      </c>
      <c r="D423" s="1220" t="s">
        <v>423</v>
      </c>
      <c r="E423" s="1220"/>
      <c r="F423" s="1220"/>
      <c r="I423" s="1058"/>
    </row>
    <row r="424" spans="1:9" ht="14.5" customHeight="1">
      <c r="A424" s="337"/>
      <c r="D424" s="1220"/>
      <c r="E424" s="1220"/>
      <c r="F424" s="1220"/>
      <c r="I424" s="1058"/>
    </row>
    <row r="425" spans="1:9" ht="14.5" customHeight="1">
      <c r="A425" s="337"/>
      <c r="D425" s="1220"/>
      <c r="E425" s="1220"/>
      <c r="F425" s="1220"/>
      <c r="I425" s="1058"/>
    </row>
    <row r="426" spans="1:9" ht="14.5" customHeight="1">
      <c r="A426" s="337"/>
      <c r="D426" s="1220"/>
      <c r="E426" s="1220"/>
      <c r="F426" s="1220"/>
      <c r="I426" s="1058"/>
    </row>
    <row r="427" spans="1:9" ht="14.5" customHeight="1">
      <c r="A427" s="337"/>
      <c r="D427" s="1220"/>
      <c r="E427" s="1220"/>
      <c r="F427" s="1220"/>
      <c r="I427" s="1058"/>
    </row>
    <row r="428" spans="1:9" ht="14.5" customHeight="1">
      <c r="A428" s="337"/>
      <c r="D428" s="1056"/>
      <c r="E428" s="1056"/>
      <c r="F428" s="1056"/>
      <c r="I428" s="1058"/>
    </row>
    <row r="429" spans="1:9" ht="13.75" customHeight="1">
      <c r="A429" s="337"/>
      <c r="B429" s="338" t="s">
        <v>314</v>
      </c>
      <c r="C429" s="332"/>
      <c r="D429" s="1220" t="s">
        <v>424</v>
      </c>
      <c r="E429" s="1220"/>
      <c r="F429" s="1220"/>
      <c r="I429" s="1058"/>
    </row>
    <row r="430" spans="1:9">
      <c r="A430" s="349"/>
      <c r="B430" s="349"/>
      <c r="C430" s="332"/>
      <c r="D430" s="1220"/>
      <c r="E430" s="1220"/>
      <c r="F430" s="1220"/>
      <c r="I430" s="1058"/>
    </row>
    <row r="431" spans="1:9">
      <c r="A431" s="349"/>
      <c r="B431" s="349"/>
      <c r="C431" s="332"/>
      <c r="D431" s="1220"/>
      <c r="E431" s="1220"/>
      <c r="F431" s="1220"/>
      <c r="I431" s="1058"/>
    </row>
    <row r="432" spans="1:9">
      <c r="A432" s="349"/>
      <c r="B432" s="349"/>
      <c r="C432" s="332"/>
      <c r="D432" s="1220"/>
      <c r="E432" s="1220"/>
      <c r="F432" s="1220"/>
      <c r="I432" s="1058"/>
    </row>
    <row r="433" spans="1:9" ht="15.75" customHeight="1">
      <c r="A433" s="349"/>
      <c r="B433" s="349"/>
      <c r="C433" s="332"/>
      <c r="D433" s="1254" t="s">
        <v>425</v>
      </c>
      <c r="E433" s="1220"/>
      <c r="F433" s="1220"/>
      <c r="I433" s="1058"/>
    </row>
    <row r="434" spans="1:9">
      <c r="D434" s="1049"/>
      <c r="E434" s="1049"/>
      <c r="F434" s="1049"/>
      <c r="I434" s="1058"/>
    </row>
    <row r="435" spans="1:9">
      <c r="A435" s="337"/>
      <c r="B435" s="338" t="s">
        <v>314</v>
      </c>
      <c r="C435" s="340"/>
      <c r="D435" s="1240" t="s">
        <v>426</v>
      </c>
      <c r="E435" s="1240"/>
      <c r="F435" s="1240"/>
      <c r="I435" s="1058"/>
    </row>
    <row r="436" spans="1:9">
      <c r="A436" s="337"/>
      <c r="B436" s="337"/>
      <c r="D436" s="1240"/>
      <c r="E436" s="1240"/>
      <c r="F436" s="1240"/>
      <c r="I436" s="1058"/>
    </row>
    <row r="437" spans="1:9">
      <c r="D437" s="1240"/>
      <c r="E437" s="1240"/>
      <c r="F437" s="1240"/>
      <c r="I437" s="1058"/>
    </row>
    <row r="438" spans="1:9">
      <c r="D438" s="1240"/>
      <c r="E438" s="1240"/>
      <c r="F438" s="1240"/>
      <c r="I438" s="1058"/>
    </row>
    <row r="439" spans="1:9">
      <c r="D439" s="1240"/>
      <c r="E439" s="1240"/>
      <c r="F439" s="1240"/>
      <c r="I439" s="1058"/>
    </row>
    <row r="440" spans="1:9">
      <c r="D440" s="1240"/>
      <c r="E440" s="1240"/>
      <c r="F440" s="1240"/>
      <c r="I440" s="1058"/>
    </row>
    <row r="441" spans="1:9">
      <c r="D441" s="1240"/>
      <c r="E441" s="1240"/>
      <c r="F441" s="1240"/>
      <c r="I441" s="1058"/>
    </row>
    <row r="442" spans="1:9">
      <c r="D442" s="1240"/>
      <c r="E442" s="1240"/>
      <c r="F442" s="1240"/>
      <c r="I442" s="1058"/>
    </row>
    <row r="443" spans="1:9">
      <c r="D443" s="1240"/>
      <c r="E443" s="1240"/>
      <c r="F443" s="1240"/>
      <c r="I443" s="1058"/>
    </row>
    <row r="444" spans="1:9">
      <c r="D444" s="1240"/>
      <c r="E444" s="1240"/>
      <c r="F444" s="1240"/>
      <c r="I444" s="1058"/>
    </row>
    <row r="445" spans="1:9">
      <c r="D445" s="1240"/>
      <c r="E445" s="1240"/>
      <c r="F445" s="1240"/>
      <c r="I445" s="1058"/>
    </row>
    <row r="446" spans="1:9">
      <c r="D446" s="1240"/>
      <c r="E446" s="1240"/>
      <c r="F446" s="1240"/>
      <c r="I446" s="1058"/>
    </row>
    <row r="447" spans="1:9">
      <c r="D447" s="1240"/>
      <c r="E447" s="1240"/>
      <c r="F447" s="1240"/>
      <c r="I447" s="1058"/>
    </row>
    <row r="448" spans="1:9">
      <c r="A448" s="272"/>
      <c r="B448" s="272"/>
      <c r="C448" s="272"/>
      <c r="D448" s="1240"/>
      <c r="E448" s="1240"/>
      <c r="F448" s="1240"/>
      <c r="I448" s="1058"/>
    </row>
    <row r="449" spans="1:9">
      <c r="A449" s="272"/>
      <c r="B449" s="272"/>
      <c r="C449" s="272"/>
      <c r="D449" s="1240"/>
      <c r="E449" s="1240"/>
      <c r="F449" s="1240"/>
      <c r="I449" s="1058"/>
    </row>
    <row r="450" spans="1:9">
      <c r="A450" s="272"/>
      <c r="B450" s="272"/>
      <c r="C450" s="272"/>
      <c r="D450" s="1240"/>
      <c r="E450" s="1240"/>
      <c r="F450" s="1240"/>
      <c r="I450" s="1058"/>
    </row>
    <row r="451" spans="1:9">
      <c r="A451" s="272"/>
      <c r="B451" s="272"/>
      <c r="C451" s="272"/>
      <c r="D451" s="1240"/>
      <c r="E451" s="1240"/>
      <c r="F451" s="1240"/>
      <c r="I451" s="1058"/>
    </row>
    <row r="452" spans="1:9">
      <c r="A452" s="272"/>
      <c r="B452" s="272"/>
      <c r="C452" s="272"/>
      <c r="D452" s="1240"/>
      <c r="E452" s="1240"/>
      <c r="F452" s="1240"/>
      <c r="I452" s="1058"/>
    </row>
    <row r="453" spans="1:9">
      <c r="A453" s="272"/>
      <c r="B453" s="272"/>
      <c r="C453" s="272"/>
      <c r="D453" s="1240"/>
      <c r="E453" s="1240"/>
      <c r="F453" s="1240"/>
      <c r="I453" s="1058"/>
    </row>
    <row r="454" spans="1:9">
      <c r="A454" s="272"/>
      <c r="B454" s="272"/>
      <c r="C454" s="272"/>
      <c r="D454" s="1240"/>
      <c r="E454" s="1240"/>
      <c r="F454" s="1240"/>
      <c r="I454" s="1058"/>
    </row>
    <row r="455" spans="1:9">
      <c r="A455" s="272"/>
      <c r="B455" s="272"/>
      <c r="C455" s="272"/>
      <c r="D455" s="1240"/>
      <c r="E455" s="1240"/>
      <c r="F455" s="1240"/>
      <c r="I455" s="1058"/>
    </row>
    <row r="456" spans="1:9">
      <c r="A456" s="272"/>
      <c r="B456" s="272"/>
      <c r="C456" s="272"/>
      <c r="D456" s="1240"/>
      <c r="E456" s="1240"/>
      <c r="F456" s="1240"/>
      <c r="I456" s="1058"/>
    </row>
    <row r="457" spans="1:9">
      <c r="A457" s="272"/>
      <c r="B457" s="272"/>
      <c r="C457" s="272"/>
      <c r="D457" s="1240"/>
      <c r="E457" s="1240"/>
      <c r="F457" s="1240"/>
      <c r="I457" s="1058"/>
    </row>
    <row r="458" spans="1:9">
      <c r="A458" s="272"/>
      <c r="B458" s="272"/>
      <c r="C458" s="272"/>
      <c r="D458" s="1240"/>
      <c r="E458" s="1240"/>
      <c r="F458" s="1240"/>
      <c r="I458" s="1058"/>
    </row>
    <row r="459" spans="1:9">
      <c r="A459" s="272"/>
      <c r="B459" s="272"/>
      <c r="C459" s="272"/>
      <c r="D459" s="1240"/>
      <c r="E459" s="1240"/>
      <c r="F459" s="1240"/>
      <c r="I459" s="1058"/>
    </row>
    <row r="460" spans="1:9">
      <c r="A460" s="272"/>
      <c r="B460" s="272"/>
      <c r="C460" s="272"/>
      <c r="D460" s="1240"/>
      <c r="E460" s="1240"/>
      <c r="F460" s="1240"/>
      <c r="I460" s="1058"/>
    </row>
    <row r="461" spans="1:9">
      <c r="A461" s="272"/>
      <c r="B461" s="272"/>
      <c r="C461" s="272"/>
      <c r="D461" s="1240"/>
      <c r="E461" s="1240"/>
      <c r="F461" s="1240"/>
      <c r="I461" s="1058"/>
    </row>
    <row r="462" spans="1:9">
      <c r="A462" s="272"/>
      <c r="B462" s="272"/>
      <c r="C462" s="272"/>
      <c r="D462" s="1240"/>
      <c r="E462" s="1240"/>
      <c r="F462" s="1240"/>
      <c r="I462" s="1058"/>
    </row>
    <row r="463" spans="1:9">
      <c r="A463" s="272"/>
      <c r="B463" s="272"/>
      <c r="C463" s="272"/>
      <c r="D463" s="1240"/>
      <c r="E463" s="1240"/>
      <c r="F463" s="1240"/>
      <c r="I463" s="1058"/>
    </row>
    <row r="464" spans="1:9">
      <c r="D464" s="1240"/>
      <c r="E464" s="1240"/>
      <c r="F464" s="1240"/>
      <c r="I464" s="1058"/>
    </row>
    <row r="465" spans="1:9" ht="40.75" customHeight="1">
      <c r="D465" s="1240"/>
      <c r="E465" s="1240"/>
      <c r="F465" s="1240"/>
      <c r="I465" s="1058"/>
    </row>
    <row r="466" spans="1:9">
      <c r="D466" s="1049"/>
      <c r="E466" s="1049"/>
      <c r="F466" s="1049"/>
      <c r="I466" s="1058"/>
    </row>
    <row r="467" spans="1:9">
      <c r="A467" s="337"/>
      <c r="B467" s="338" t="s">
        <v>314</v>
      </c>
      <c r="C467" s="340"/>
      <c r="D467" s="1240" t="s">
        <v>427</v>
      </c>
      <c r="E467" s="1240"/>
      <c r="F467" s="1240"/>
      <c r="I467" s="1058"/>
    </row>
    <row r="468" spans="1:9">
      <c r="D468" s="1240"/>
      <c r="E468" s="1240"/>
      <c r="F468" s="1240"/>
      <c r="I468" s="1058"/>
    </row>
    <row r="469" spans="1:9">
      <c r="D469" s="1240"/>
      <c r="E469" s="1240"/>
      <c r="F469" s="1240"/>
      <c r="I469" s="1058"/>
    </row>
    <row r="470" spans="1:9">
      <c r="D470" s="1050"/>
      <c r="E470" s="1050"/>
      <c r="F470" s="1050"/>
      <c r="I470" s="1058"/>
    </row>
    <row r="471" spans="1:9">
      <c r="B471" s="338" t="s">
        <v>314</v>
      </c>
      <c r="C471" s="337"/>
      <c r="D471" s="1240" t="s">
        <v>428</v>
      </c>
      <c r="E471" s="1240"/>
      <c r="F471" s="1240"/>
      <c r="I471" s="1058"/>
    </row>
    <row r="472" spans="1:9">
      <c r="D472" s="1240"/>
      <c r="E472" s="1240"/>
      <c r="F472" s="1240"/>
      <c r="I472" s="1058"/>
    </row>
    <row r="473" spans="1:9">
      <c r="D473" s="1049"/>
      <c r="E473" s="1049"/>
      <c r="F473" s="1049"/>
      <c r="I473" s="1058"/>
    </row>
    <row r="474" spans="1:9">
      <c r="B474" s="338" t="s">
        <v>314</v>
      </c>
      <c r="C474" s="337"/>
      <c r="D474" s="1240" t="s">
        <v>429</v>
      </c>
      <c r="E474" s="1240"/>
      <c r="F474" s="1240"/>
      <c r="I474" s="1058"/>
    </row>
    <row r="475" spans="1:9">
      <c r="D475" s="1240"/>
      <c r="E475" s="1240"/>
      <c r="F475" s="1240"/>
      <c r="I475" s="1058"/>
    </row>
    <row r="476" spans="1:9">
      <c r="D476" s="1240"/>
      <c r="E476" s="1240"/>
      <c r="F476" s="1240"/>
      <c r="I476" s="1058"/>
    </row>
    <row r="477" spans="1:9">
      <c r="D477" s="1240"/>
      <c r="E477" s="1240"/>
      <c r="F477" s="1240"/>
      <c r="I477" s="1058"/>
    </row>
    <row r="478" spans="1:9">
      <c r="B478" s="338" t="s">
        <v>314</v>
      </c>
      <c r="D478" s="1240"/>
      <c r="E478" s="1240"/>
      <c r="F478" s="1240"/>
      <c r="I478" s="1058"/>
    </row>
    <row r="479" spans="1:9">
      <c r="A479" s="272"/>
      <c r="B479" s="272"/>
      <c r="C479" s="272"/>
      <c r="D479" s="1240"/>
      <c r="E479" s="1240"/>
      <c r="F479" s="1240"/>
      <c r="I479" s="1058"/>
    </row>
    <row r="480" spans="1:9">
      <c r="A480" s="272"/>
      <c r="C480" s="272"/>
      <c r="D480" s="1240"/>
      <c r="E480" s="1240"/>
      <c r="F480" s="1240"/>
      <c r="I480" s="1058"/>
    </row>
    <row r="481" spans="1:9">
      <c r="A481" s="272"/>
      <c r="B481" s="338" t="s">
        <v>314</v>
      </c>
      <c r="C481" s="272"/>
      <c r="D481" s="1240"/>
      <c r="E481" s="1240"/>
      <c r="F481" s="1240"/>
      <c r="I481" s="1058"/>
    </row>
    <row r="482" spans="1:9">
      <c r="A482" s="272"/>
      <c r="B482" s="272"/>
      <c r="C482" s="272"/>
      <c r="D482" s="1240"/>
      <c r="E482" s="1240"/>
      <c r="F482" s="1240"/>
      <c r="I482" s="1058"/>
    </row>
    <row r="483" spans="1:9">
      <c r="A483" s="272"/>
      <c r="C483" s="272"/>
      <c r="D483" s="1240"/>
      <c r="E483" s="1240"/>
      <c r="F483" s="1240"/>
      <c r="I483" s="1058"/>
    </row>
    <row r="484" spans="1:9">
      <c r="A484" s="272"/>
      <c r="C484" s="272"/>
      <c r="D484" s="1240"/>
      <c r="E484" s="1240"/>
      <c r="F484" s="1240"/>
      <c r="I484" s="1058"/>
    </row>
    <row r="485" spans="1:9">
      <c r="A485" s="272"/>
      <c r="C485" s="272"/>
      <c r="D485" s="1240"/>
      <c r="E485" s="1240"/>
      <c r="F485" s="1240"/>
      <c r="I485" s="1058"/>
    </row>
    <row r="486" spans="1:9">
      <c r="A486" s="272"/>
      <c r="B486" s="338" t="s">
        <v>314</v>
      </c>
      <c r="C486" s="272"/>
      <c r="D486" s="1240"/>
      <c r="E486" s="1240"/>
      <c r="F486" s="1240"/>
      <c r="I486" s="1058"/>
    </row>
    <row r="487" spans="1:9">
      <c r="A487" s="272"/>
      <c r="C487" s="272"/>
      <c r="D487" s="1240"/>
      <c r="E487" s="1240"/>
      <c r="F487" s="1240"/>
      <c r="I487" s="1058"/>
    </row>
    <row r="488" spans="1:9">
      <c r="A488" s="272"/>
      <c r="B488" s="338" t="s">
        <v>314</v>
      </c>
      <c r="C488" s="272"/>
      <c r="D488" s="1240" t="s">
        <v>430</v>
      </c>
      <c r="E488" s="1240"/>
      <c r="F488" s="1240"/>
      <c r="I488" s="1058"/>
    </row>
    <row r="489" spans="1:9">
      <c r="A489" s="272"/>
      <c r="B489" s="272"/>
      <c r="C489" s="272"/>
      <c r="D489" s="1240"/>
      <c r="E489" s="1240"/>
      <c r="F489" s="1240"/>
      <c r="I489" s="1058"/>
    </row>
    <row r="490" spans="1:9">
      <c r="A490" s="272"/>
      <c r="B490" s="272"/>
      <c r="C490" s="272"/>
      <c r="D490" s="1240"/>
      <c r="E490" s="1240"/>
      <c r="F490" s="1240"/>
      <c r="I490" s="1058"/>
    </row>
    <row r="491" spans="1:9">
      <c r="A491" s="272"/>
      <c r="B491" s="272"/>
      <c r="C491" s="272"/>
      <c r="D491" s="1240"/>
      <c r="E491" s="1240"/>
      <c r="F491" s="1240"/>
      <c r="I491" s="1058"/>
    </row>
    <row r="492" spans="1:9">
      <c r="D492" s="1240"/>
      <c r="E492" s="1240"/>
      <c r="F492" s="1240"/>
      <c r="I492" s="1058"/>
    </row>
    <row r="493" spans="1:9">
      <c r="D493" s="1049"/>
      <c r="E493" s="1049"/>
      <c r="F493" s="1049"/>
      <c r="I493" s="1058"/>
    </row>
    <row r="494" spans="1:9">
      <c r="B494" s="338" t="s">
        <v>314</v>
      </c>
      <c r="D494" s="1241" t="s">
        <v>431</v>
      </c>
      <c r="E494" s="1241"/>
      <c r="F494" s="1241"/>
      <c r="I494" s="1058"/>
    </row>
    <row r="495" spans="1:9">
      <c r="A495" s="1049"/>
      <c r="B495" s="1049"/>
      <c r="I495" s="1058"/>
    </row>
    <row r="496" spans="1:9">
      <c r="A496" s="1243" t="s">
        <v>432</v>
      </c>
      <c r="B496" s="1243"/>
      <c r="C496" s="1243"/>
      <c r="D496" s="1243"/>
      <c r="E496" s="1243"/>
      <c r="F496" s="1243"/>
      <c r="G496" s="1243"/>
      <c r="H496" s="811"/>
      <c r="I496" s="933"/>
    </row>
    <row r="497" spans="1:9">
      <c r="A497" s="1049"/>
      <c r="B497" s="1049"/>
      <c r="I497" s="1058"/>
    </row>
    <row r="498" spans="1:9">
      <c r="D498" s="1256" t="s">
        <v>433</v>
      </c>
      <c r="E498" s="1256"/>
      <c r="F498" s="1256"/>
      <c r="I498" s="1058"/>
    </row>
    <row r="499" spans="1:9">
      <c r="A499" s="337"/>
      <c r="B499" s="337"/>
      <c r="D499" s="1252" t="s">
        <v>434</v>
      </c>
      <c r="E499" s="1252"/>
      <c r="F499" s="1252"/>
      <c r="I499" s="1058"/>
    </row>
    <row r="500" spans="1:9">
      <c r="A500" s="337"/>
      <c r="B500" s="337"/>
      <c r="D500" s="1057"/>
      <c r="I500" s="1058"/>
    </row>
    <row r="501" spans="1:9">
      <c r="A501" s="337"/>
      <c r="B501" s="338" t="s">
        <v>314</v>
      </c>
      <c r="D501" s="1220" t="s">
        <v>435</v>
      </c>
      <c r="E501" s="1220"/>
      <c r="F501" s="1220"/>
      <c r="I501" s="1058"/>
    </row>
    <row r="502" spans="1:9">
      <c r="A502" s="337"/>
      <c r="B502" s="337"/>
      <c r="D502" s="1220"/>
      <c r="E502" s="1220"/>
      <c r="F502" s="1220"/>
      <c r="I502" s="1058"/>
    </row>
    <row r="503" spans="1:9">
      <c r="A503" s="337"/>
      <c r="B503" s="337"/>
      <c r="D503" s="1049"/>
      <c r="I503" s="1058"/>
    </row>
    <row r="504" spans="1:9" ht="12.75" customHeight="1">
      <c r="B504" s="338" t="s">
        <v>314</v>
      </c>
      <c r="D504" s="1244" t="s">
        <v>436</v>
      </c>
      <c r="E504" s="1244"/>
      <c r="F504" s="1244"/>
      <c r="I504" s="1058"/>
    </row>
    <row r="505" spans="1:9">
      <c r="A505" s="337"/>
      <c r="D505" s="1244"/>
      <c r="E505" s="1244"/>
      <c r="F505" s="1244"/>
      <c r="I505" s="1058"/>
    </row>
    <row r="506" spans="1:9">
      <c r="A506" s="337"/>
      <c r="B506" s="337"/>
      <c r="D506" s="1244"/>
      <c r="E506" s="1244"/>
      <c r="F506" s="1244"/>
      <c r="I506" s="1058"/>
    </row>
    <row r="507" spans="1:9">
      <c r="A507" s="337"/>
      <c r="B507" s="337"/>
      <c r="D507" s="1244"/>
      <c r="E507" s="1244"/>
      <c r="F507" s="1244"/>
      <c r="I507" s="1058"/>
    </row>
    <row r="508" spans="1:9">
      <c r="A508" s="337"/>
      <c r="D508" s="370"/>
      <c r="E508" s="370"/>
      <c r="F508" s="370"/>
      <c r="I508" s="1058"/>
    </row>
    <row r="509" spans="1:9">
      <c r="A509" s="337"/>
      <c r="B509" s="338" t="s">
        <v>314</v>
      </c>
      <c r="D509" s="1241" t="s">
        <v>437</v>
      </c>
      <c r="E509" s="1241"/>
      <c r="F509" s="1241"/>
      <c r="I509" s="1058"/>
    </row>
    <row r="510" spans="1:9">
      <c r="A510" s="337"/>
      <c r="B510" s="337"/>
      <c r="D510" s="1049"/>
      <c r="I510" s="1058"/>
    </row>
    <row r="511" spans="1:9">
      <c r="A511" s="337"/>
      <c r="B511" s="338" t="s">
        <v>314</v>
      </c>
      <c r="D511" s="1240" t="s">
        <v>438</v>
      </c>
      <c r="E511" s="1240"/>
      <c r="F511" s="1240"/>
      <c r="I511" s="1058"/>
    </row>
    <row r="512" spans="1:9">
      <c r="A512" s="337"/>
      <c r="D512" s="1240"/>
      <c r="E512" s="1240"/>
      <c r="F512" s="1240"/>
      <c r="I512" s="1058"/>
    </row>
    <row r="513" spans="1:9">
      <c r="A513" s="1058"/>
      <c r="B513" s="1058"/>
      <c r="D513" s="1057"/>
      <c r="I513" s="1058"/>
    </row>
    <row r="514" spans="1:9">
      <c r="A514" s="1058"/>
      <c r="B514" s="338" t="s">
        <v>314</v>
      </c>
      <c r="D514" s="1241" t="s">
        <v>439</v>
      </c>
      <c r="E514" s="1241"/>
      <c r="F514" s="1241"/>
      <c r="I514" s="1058"/>
    </row>
    <row r="515" spans="1:9">
      <c r="D515" s="1049"/>
      <c r="E515" s="1049"/>
      <c r="F515" s="1049"/>
      <c r="I515" s="1058"/>
    </row>
    <row r="516" spans="1:9">
      <c r="B516" s="338" t="s">
        <v>314</v>
      </c>
      <c r="D516" s="1240" t="s">
        <v>440</v>
      </c>
      <c r="E516" s="1240"/>
      <c r="F516" s="1240"/>
      <c r="I516" s="1058"/>
    </row>
    <row r="517" spans="1:9">
      <c r="D517" s="1240"/>
      <c r="E517" s="1240"/>
      <c r="F517" s="1240"/>
      <c r="I517" s="1058"/>
    </row>
    <row r="518" spans="1:9">
      <c r="D518" s="1240"/>
      <c r="E518" s="1240"/>
      <c r="F518" s="1240"/>
      <c r="I518" s="1058"/>
    </row>
    <row r="519" spans="1:9">
      <c r="D519" s="1049"/>
      <c r="E519" s="1049"/>
      <c r="F519" s="1049"/>
      <c r="I519" s="1058"/>
    </row>
    <row r="520" spans="1:9">
      <c r="A520" s="337"/>
      <c r="B520" s="337"/>
      <c r="D520" s="1049"/>
      <c r="I520" s="1058"/>
    </row>
    <row r="521" spans="1:9">
      <c r="A521" s="1243" t="s">
        <v>441</v>
      </c>
      <c r="B521" s="1243"/>
      <c r="C521" s="1243"/>
      <c r="D521" s="1243"/>
      <c r="E521" s="1243"/>
      <c r="F521" s="1243"/>
      <c r="G521" s="1243"/>
      <c r="H521" s="811"/>
      <c r="I521" s="933"/>
    </row>
    <row r="522" spans="1:9" ht="12" customHeight="1">
      <c r="A522" s="337"/>
      <c r="B522" s="337"/>
      <c r="D522" s="1049"/>
      <c r="I522" s="1058"/>
    </row>
    <row r="523" spans="1:9">
      <c r="C523" s="1061"/>
      <c r="D523" s="1248" t="s">
        <v>442</v>
      </c>
      <c r="E523" s="1248"/>
      <c r="F523" s="1248"/>
      <c r="I523" s="1058"/>
    </row>
    <row r="524" spans="1:9">
      <c r="C524" s="1061"/>
      <c r="D524" s="358" t="s">
        <v>443</v>
      </c>
      <c r="E524" s="358"/>
      <c r="F524" s="358"/>
      <c r="I524" s="1058"/>
    </row>
    <row r="525" spans="1:9">
      <c r="C525" s="1061"/>
      <c r="D525" s="358" t="s">
        <v>444</v>
      </c>
      <c r="E525" s="358"/>
      <c r="F525" s="358"/>
      <c r="I525" s="1058"/>
    </row>
    <row r="526" spans="1:9">
      <c r="C526" s="1061"/>
      <c r="D526" s="1054"/>
      <c r="E526" s="1054"/>
      <c r="F526" s="1054"/>
      <c r="I526" s="1058"/>
    </row>
    <row r="527" spans="1:9" ht="13.75" customHeight="1">
      <c r="A527" s="336"/>
      <c r="B527" s="338" t="s">
        <v>309</v>
      </c>
      <c r="C527" s="336"/>
      <c r="D527" s="1220" t="s">
        <v>445</v>
      </c>
      <c r="E527" s="1220"/>
      <c r="F527" s="1220"/>
      <c r="I527" s="1058"/>
    </row>
    <row r="528" spans="1:9">
      <c r="A528" s="336"/>
      <c r="B528" s="336"/>
      <c r="C528" s="336"/>
      <c r="D528" s="1220"/>
      <c r="E528" s="1220"/>
      <c r="F528" s="1220"/>
      <c r="I528" s="1058"/>
    </row>
    <row r="529" spans="1:9">
      <c r="A529" s="336"/>
      <c r="B529" s="336"/>
      <c r="C529" s="336"/>
      <c r="D529" s="1035"/>
      <c r="E529" s="1035"/>
      <c r="F529" s="1035"/>
      <c r="I529" s="335"/>
    </row>
    <row r="530" spans="1:9" ht="12.75" customHeight="1">
      <c r="A530" s="336"/>
      <c r="B530" s="338" t="s">
        <v>309</v>
      </c>
      <c r="D530" s="258" t="s">
        <v>446</v>
      </c>
      <c r="E530" s="1056"/>
      <c r="F530" s="1056"/>
      <c r="I530" s="1058"/>
    </row>
    <row r="531" spans="1:9">
      <c r="A531" s="336"/>
      <c r="B531" s="336"/>
      <c r="C531" s="336"/>
      <c r="D531" s="1056"/>
      <c r="E531" s="55" t="s">
        <v>447</v>
      </c>
      <c r="I531" s="1058"/>
    </row>
    <row r="532" spans="1:9">
      <c r="A532" s="336"/>
      <c r="B532" s="336"/>
      <c r="D532" s="1237" t="s">
        <v>448</v>
      </c>
      <c r="E532" s="1237"/>
      <c r="F532" s="1237"/>
      <c r="I532" s="1058"/>
    </row>
    <row r="533" spans="1:9">
      <c r="A533" s="336"/>
      <c r="B533" s="336"/>
      <c r="D533" s="1237"/>
      <c r="E533" s="1237"/>
      <c r="F533" s="1237"/>
      <c r="I533" s="1058"/>
    </row>
    <row r="534" spans="1:9">
      <c r="A534" s="336"/>
      <c r="B534" s="336"/>
      <c r="C534" s="336"/>
      <c r="D534" s="1237"/>
      <c r="E534" s="1237"/>
      <c r="F534" s="1237"/>
      <c r="I534" s="1058"/>
    </row>
    <row r="535" spans="1:9">
      <c r="A535" s="336"/>
      <c r="B535" s="336"/>
      <c r="C535" s="336"/>
      <c r="D535" s="350"/>
      <c r="F535" s="1049"/>
      <c r="I535" s="1058"/>
    </row>
    <row r="536" spans="1:9" ht="13.4" customHeight="1">
      <c r="A536" s="336"/>
      <c r="B536" s="338" t="s">
        <v>314</v>
      </c>
      <c r="C536" s="336"/>
      <c r="D536" s="1240" t="s">
        <v>449</v>
      </c>
      <c r="E536" s="1240"/>
      <c r="F536" s="1240"/>
      <c r="I536" s="1058"/>
    </row>
    <row r="537" spans="1:9">
      <c r="A537" s="336"/>
      <c r="B537" s="336"/>
      <c r="C537" s="336"/>
      <c r="D537" s="1240"/>
      <c r="E537" s="1240"/>
      <c r="F537" s="1240"/>
      <c r="I537" s="1058"/>
    </row>
    <row r="538" spans="1:9" ht="12" customHeight="1">
      <c r="A538" s="1049"/>
      <c r="B538" s="1049"/>
      <c r="C538" s="340"/>
      <c r="D538" s="1049"/>
      <c r="F538" s="1060"/>
      <c r="I538" s="1058"/>
    </row>
    <row r="539" spans="1:9">
      <c r="A539" s="1243" t="s">
        <v>450</v>
      </c>
      <c r="B539" s="1243"/>
      <c r="C539" s="1243"/>
      <c r="D539" s="1243"/>
      <c r="E539" s="1243"/>
      <c r="F539" s="1243"/>
      <c r="G539" s="1243"/>
      <c r="H539" s="811"/>
      <c r="I539" s="933"/>
    </row>
    <row r="540" spans="1:9">
      <c r="A540" s="1049"/>
      <c r="B540" s="1049"/>
      <c r="C540" s="340"/>
      <c r="F540" s="1060"/>
      <c r="I540" s="1058"/>
    </row>
    <row r="541" spans="1:9">
      <c r="B541" s="1246" t="s">
        <v>348</v>
      </c>
      <c r="C541" s="1246"/>
      <c r="D541" s="1246"/>
      <c r="E541" s="1246"/>
      <c r="F541" s="1246"/>
      <c r="I541" s="1058"/>
    </row>
    <row r="542" spans="1:9">
      <c r="A542" s="1049"/>
      <c r="B542" s="1049"/>
      <c r="C542" s="340"/>
      <c r="D542" s="1049"/>
      <c r="F542" s="1049"/>
      <c r="I542" s="1058"/>
    </row>
    <row r="543" spans="1:9">
      <c r="A543" s="1247" t="s">
        <v>451</v>
      </c>
      <c r="B543" s="1247"/>
      <c r="C543" s="1247"/>
      <c r="D543" s="1247"/>
      <c r="E543" s="1247"/>
      <c r="F543" s="1247"/>
      <c r="G543" s="1247"/>
      <c r="H543" s="811"/>
      <c r="I543" s="933"/>
    </row>
    <row r="544" spans="1:9">
      <c r="A544" s="1049"/>
      <c r="B544" s="1049"/>
      <c r="C544" s="340"/>
      <c r="D544" s="1049"/>
      <c r="F544" s="1049"/>
      <c r="I544" s="1058"/>
    </row>
    <row r="545" spans="1:9">
      <c r="C545" s="340"/>
      <c r="D545" s="1248" t="s">
        <v>452</v>
      </c>
      <c r="E545" s="1248"/>
      <c r="F545" s="1248"/>
      <c r="I545" s="1058"/>
    </row>
    <row r="546" spans="1:9">
      <c r="C546" s="340"/>
      <c r="D546" s="1241" t="s">
        <v>453</v>
      </c>
      <c r="E546" s="1241"/>
      <c r="F546" s="1241"/>
      <c r="I546" s="1058"/>
    </row>
    <row r="547" spans="1:9">
      <c r="C547" s="340"/>
      <c r="D547" s="1049"/>
      <c r="E547" s="1049"/>
      <c r="F547" s="1049"/>
      <c r="I547" s="1058"/>
    </row>
    <row r="548" spans="1:9" ht="13.75" customHeight="1">
      <c r="A548" s="337"/>
      <c r="B548" s="338" t="s">
        <v>309</v>
      </c>
      <c r="C548" s="340"/>
      <c r="D548" s="1241" t="s">
        <v>454</v>
      </c>
      <c r="E548" s="1241"/>
      <c r="F548" s="1241"/>
      <c r="I548" s="1058"/>
    </row>
    <row r="549" spans="1:9" ht="13.75" customHeight="1">
      <c r="A549" s="340"/>
      <c r="B549" s="340"/>
      <c r="C549" s="340"/>
      <c r="D549" s="1049"/>
      <c r="I549" s="1058"/>
    </row>
    <row r="550" spans="1:9">
      <c r="A550" s="337"/>
      <c r="B550" s="338" t="s">
        <v>309</v>
      </c>
      <c r="C550" s="340"/>
      <c r="D550" s="1240" t="s">
        <v>455</v>
      </c>
      <c r="E550" s="1240"/>
      <c r="F550" s="1240"/>
      <c r="I550" s="1058"/>
    </row>
    <row r="551" spans="1:9">
      <c r="A551" s="340"/>
      <c r="B551" s="340"/>
      <c r="C551" s="340"/>
      <c r="D551" s="1240"/>
      <c r="E551" s="1240"/>
      <c r="F551" s="1240"/>
      <c r="I551" s="1058"/>
    </row>
    <row r="552" spans="1:9">
      <c r="A552" s="340"/>
      <c r="B552" s="340"/>
      <c r="C552" s="340"/>
      <c r="D552" s="1049"/>
      <c r="E552" s="1049"/>
      <c r="F552" s="1049"/>
      <c r="I552" s="1058"/>
    </row>
    <row r="553" spans="1:9">
      <c r="A553" s="337"/>
      <c r="B553" s="338" t="s">
        <v>309</v>
      </c>
      <c r="C553" s="340"/>
      <c r="D553" s="1240" t="s">
        <v>456</v>
      </c>
      <c r="E553" s="1240"/>
      <c r="F553" s="1240"/>
      <c r="I553" s="1058"/>
    </row>
    <row r="554" spans="1:9">
      <c r="A554" s="340"/>
      <c r="B554" s="340"/>
      <c r="C554" s="340"/>
      <c r="D554" s="1240"/>
      <c r="E554" s="1240"/>
      <c r="F554" s="1240"/>
      <c r="I554" s="1058"/>
    </row>
    <row r="555" spans="1:9">
      <c r="A555" s="340"/>
      <c r="B555" s="340"/>
      <c r="C555" s="340"/>
      <c r="D555" s="1049"/>
      <c r="E555" s="1049"/>
      <c r="F555" s="1049"/>
      <c r="I555" s="1058"/>
    </row>
    <row r="556" spans="1:9">
      <c r="A556" s="337"/>
      <c r="B556" s="338" t="s">
        <v>309</v>
      </c>
      <c r="C556" s="340"/>
      <c r="D556" s="1240" t="s">
        <v>457</v>
      </c>
      <c r="E556" s="1240"/>
      <c r="F556" s="1240"/>
      <c r="I556" s="1058"/>
    </row>
    <row r="557" spans="1:9">
      <c r="A557" s="340"/>
      <c r="B557" s="340"/>
      <c r="C557" s="340"/>
      <c r="D557" s="1240"/>
      <c r="E557" s="1240"/>
      <c r="F557" s="1240"/>
      <c r="I557" s="1058"/>
    </row>
    <row r="558" spans="1:9">
      <c r="A558" s="340"/>
      <c r="B558" s="340"/>
      <c r="C558" s="340"/>
      <c r="D558" s="1049"/>
      <c r="E558" s="1049"/>
      <c r="F558" s="1049"/>
      <c r="I558" s="1058"/>
    </row>
    <row r="559" spans="1:9">
      <c r="A559" s="337"/>
      <c r="B559" s="338" t="s">
        <v>309</v>
      </c>
      <c r="C559" s="340"/>
      <c r="D559" s="1240" t="s">
        <v>458</v>
      </c>
      <c r="E559" s="1240"/>
      <c r="F559" s="1240"/>
      <c r="I559" s="1058"/>
    </row>
    <row r="560" spans="1:9">
      <c r="A560" s="340"/>
      <c r="B560" s="340"/>
      <c r="C560" s="340"/>
      <c r="D560" s="1240"/>
      <c r="E560" s="1240"/>
      <c r="F560" s="1240"/>
      <c r="I560" s="1058"/>
    </row>
    <row r="561" spans="1:9">
      <c r="A561" s="340"/>
      <c r="B561" s="340"/>
      <c r="C561" s="340"/>
      <c r="D561" s="1240"/>
      <c r="E561" s="1240"/>
      <c r="F561" s="1240"/>
      <c r="I561" s="1058"/>
    </row>
    <row r="562" spans="1:9">
      <c r="A562" s="340"/>
      <c r="B562" s="340"/>
      <c r="C562" s="340"/>
      <c r="D562" s="1049"/>
      <c r="E562" s="1049"/>
      <c r="F562" s="1049"/>
      <c r="I562" s="1058"/>
    </row>
    <row r="563" spans="1:9">
      <c r="A563" s="337"/>
      <c r="B563" s="338" t="s">
        <v>314</v>
      </c>
      <c r="C563" s="340"/>
      <c r="D563" s="1240" t="s">
        <v>459</v>
      </c>
      <c r="E563" s="1240"/>
      <c r="F563" s="1240"/>
      <c r="I563" s="1058"/>
    </row>
    <row r="564" spans="1:9">
      <c r="A564" s="340"/>
      <c r="B564" s="340"/>
      <c r="C564" s="340"/>
      <c r="D564" s="1240"/>
      <c r="E564" s="1240"/>
      <c r="F564" s="1240"/>
      <c r="I564" s="1058"/>
    </row>
    <row r="565" spans="1:9">
      <c r="A565" s="340"/>
      <c r="B565" s="340"/>
      <c r="C565" s="340"/>
      <c r="D565" s="1049"/>
      <c r="E565" s="1049"/>
      <c r="F565" s="1049"/>
      <c r="I565" s="1058"/>
    </row>
    <row r="566" spans="1:9">
      <c r="A566" s="337"/>
      <c r="B566" s="338" t="s">
        <v>309</v>
      </c>
      <c r="C566" s="340"/>
      <c r="D566" s="1240" t="s">
        <v>460</v>
      </c>
      <c r="E566" s="1240"/>
      <c r="F566" s="1240"/>
      <c r="I566" s="1058"/>
    </row>
    <row r="567" spans="1:9">
      <c r="A567" s="340"/>
      <c r="B567" s="340"/>
      <c r="C567" s="340"/>
      <c r="D567" s="1240"/>
      <c r="E567" s="1240"/>
      <c r="F567" s="1240"/>
      <c r="I567" s="1058"/>
    </row>
    <row r="568" spans="1:9">
      <c r="A568" s="340"/>
      <c r="B568" s="340"/>
      <c r="C568" s="340"/>
      <c r="D568" s="1049"/>
      <c r="E568" s="1049"/>
      <c r="F568" s="1049"/>
      <c r="I568" s="1058"/>
    </row>
    <row r="569" spans="1:9">
      <c r="A569" s="337"/>
      <c r="B569" s="338" t="s">
        <v>309</v>
      </c>
      <c r="C569" s="340"/>
      <c r="D569" s="1241" t="s">
        <v>461</v>
      </c>
      <c r="E569" s="1241"/>
      <c r="F569" s="1241"/>
      <c r="I569" s="1058"/>
    </row>
    <row r="570" spans="1:9">
      <c r="A570" s="1058"/>
      <c r="B570" s="1058"/>
      <c r="C570" s="340"/>
      <c r="D570" s="1241" t="s">
        <v>462</v>
      </c>
      <c r="E570" s="1241"/>
      <c r="F570" s="1241"/>
      <c r="I570" s="1058"/>
    </row>
    <row r="571" spans="1:9">
      <c r="A571" s="1058"/>
      <c r="B571" s="1058"/>
      <c r="C571" s="340"/>
      <c r="E571" s="55" t="s">
        <v>463</v>
      </c>
      <c r="F571" s="274"/>
      <c r="I571" s="1058"/>
    </row>
    <row r="572" spans="1:9">
      <c r="A572" s="337"/>
      <c r="B572" s="337"/>
      <c r="C572" s="340"/>
      <c r="E572" s="1049"/>
      <c r="F572" s="1049"/>
      <c r="I572" s="1058"/>
    </row>
    <row r="573" spans="1:9">
      <c r="A573" s="337"/>
      <c r="B573" s="338" t="s">
        <v>309</v>
      </c>
      <c r="C573" s="340"/>
      <c r="D573" s="1241" t="s">
        <v>464</v>
      </c>
      <c r="E573" s="1241"/>
      <c r="F573" s="1241"/>
      <c r="I573" s="1058"/>
    </row>
    <row r="574" spans="1:9">
      <c r="C574" s="340"/>
      <c r="D574" s="1240" t="s">
        <v>465</v>
      </c>
      <c r="E574" s="1240"/>
      <c r="F574" s="1240"/>
      <c r="I574" s="1058"/>
    </row>
    <row r="575" spans="1:9">
      <c r="A575" s="340"/>
      <c r="B575" s="340"/>
      <c r="C575" s="340"/>
      <c r="D575" s="1240"/>
      <c r="E575" s="1240"/>
      <c r="F575" s="1240"/>
      <c r="I575" s="1058"/>
    </row>
    <row r="576" spans="1:9">
      <c r="A576" s="340"/>
      <c r="B576" s="340"/>
      <c r="C576" s="340"/>
      <c r="D576" s="1240"/>
      <c r="E576" s="1240"/>
      <c r="F576" s="1240"/>
      <c r="I576" s="1058"/>
    </row>
    <row r="577" spans="1:9">
      <c r="A577" s="340"/>
      <c r="B577" s="340"/>
      <c r="C577" s="340"/>
      <c r="D577" s="1049"/>
      <c r="E577" s="1049"/>
      <c r="F577" s="1049"/>
      <c r="I577" s="1058"/>
    </row>
    <row r="578" spans="1:9">
      <c r="A578" s="337"/>
      <c r="B578" s="338" t="s">
        <v>309</v>
      </c>
      <c r="C578" s="340"/>
      <c r="D578" s="1240" t="s">
        <v>466</v>
      </c>
      <c r="E578" s="1240"/>
      <c r="F578" s="1240"/>
      <c r="I578" s="1058"/>
    </row>
    <row r="579" spans="1:9">
      <c r="A579" s="337"/>
      <c r="B579" s="337"/>
      <c r="C579" s="340"/>
      <c r="D579" s="1240"/>
      <c r="E579" s="1240"/>
      <c r="F579" s="1240"/>
      <c r="I579" s="1058"/>
    </row>
    <row r="580" spans="1:9">
      <c r="A580" s="337"/>
      <c r="B580" s="337"/>
      <c r="C580" s="340"/>
      <c r="D580" s="1240"/>
      <c r="E580" s="1240"/>
      <c r="F580" s="1240"/>
      <c r="I580" s="1058"/>
    </row>
    <row r="581" spans="1:9">
      <c r="A581" s="337"/>
      <c r="B581" s="337"/>
      <c r="C581" s="340"/>
      <c r="D581" s="1240"/>
      <c r="E581" s="1240"/>
      <c r="F581" s="1240"/>
      <c r="I581" s="1058"/>
    </row>
    <row r="582" spans="1:9">
      <c r="A582" s="337"/>
      <c r="B582" s="337"/>
      <c r="C582" s="340"/>
      <c r="D582" s="1049"/>
      <c r="E582" s="1049"/>
      <c r="F582" s="1049"/>
      <c r="I582" s="1058"/>
    </row>
    <row r="583" spans="1:9">
      <c r="A583" s="1243" t="s">
        <v>467</v>
      </c>
      <c r="B583" s="1243"/>
      <c r="C583" s="1243"/>
      <c r="D583" s="1243"/>
      <c r="E583" s="1243"/>
      <c r="F583" s="1243"/>
      <c r="G583" s="1243"/>
      <c r="H583" s="811"/>
      <c r="I583" s="933"/>
    </row>
    <row r="584" spans="1:9">
      <c r="A584" s="340"/>
      <c r="B584" s="340"/>
      <c r="C584" s="340"/>
      <c r="E584" s="1049"/>
      <c r="F584" s="1049"/>
      <c r="I584" s="1058"/>
    </row>
    <row r="585" spans="1:9" ht="12.75" customHeight="1">
      <c r="C585" s="1061"/>
      <c r="D585" s="1242" t="s">
        <v>468</v>
      </c>
      <c r="E585" s="1242"/>
      <c r="F585" s="1242"/>
      <c r="I585" s="1058"/>
    </row>
    <row r="586" spans="1:9">
      <c r="A586" s="336"/>
      <c r="B586" s="336"/>
      <c r="C586" s="336"/>
      <c r="D586" s="1244" t="s">
        <v>469</v>
      </c>
      <c r="E586" s="1244"/>
      <c r="F586" s="1244"/>
      <c r="I586" s="1058"/>
    </row>
    <row r="587" spans="1:9">
      <c r="A587" s="272"/>
      <c r="B587" s="272"/>
      <c r="C587" s="336"/>
      <c r="D587" s="351"/>
      <c r="I587" s="1058"/>
    </row>
    <row r="588" spans="1:9">
      <c r="A588" s="336"/>
      <c r="B588" s="338" t="s">
        <v>309</v>
      </c>
      <c r="D588" s="1244" t="s">
        <v>470</v>
      </c>
      <c r="E588" s="1244"/>
      <c r="F588" s="1244"/>
      <c r="I588" s="1058"/>
    </row>
    <row r="589" spans="1:9">
      <c r="A589" s="1058"/>
      <c r="B589" s="1058"/>
      <c r="D589" s="332"/>
      <c r="I589" s="1058"/>
    </row>
    <row r="590" spans="1:9">
      <c r="A590" s="1058"/>
      <c r="B590" s="338" t="s">
        <v>309</v>
      </c>
      <c r="D590" s="1244" t="s">
        <v>471</v>
      </c>
      <c r="E590" s="1244"/>
      <c r="F590" s="1244"/>
      <c r="I590" s="1058"/>
    </row>
    <row r="591" spans="1:9">
      <c r="A591" s="1058"/>
      <c r="B591" s="1058"/>
      <c r="D591" s="1244"/>
      <c r="E591" s="1244"/>
      <c r="F591" s="1244"/>
      <c r="I591" s="1058"/>
    </row>
    <row r="592" spans="1:9">
      <c r="A592" s="1058"/>
      <c r="B592" s="1058"/>
      <c r="D592" s="1244"/>
      <c r="E592" s="1244"/>
      <c r="F592" s="1244"/>
      <c r="I592" s="1058"/>
    </row>
    <row r="593" spans="1:9">
      <c r="A593" s="1058"/>
      <c r="B593" s="1058"/>
      <c r="D593" s="1244"/>
      <c r="E593" s="1244"/>
      <c r="F593" s="1244"/>
      <c r="I593" s="1058"/>
    </row>
    <row r="594" spans="1:9">
      <c r="A594" s="1058"/>
      <c r="B594" s="338" t="s">
        <v>314</v>
      </c>
      <c r="D594" s="1244" t="s">
        <v>472</v>
      </c>
      <c r="E594" s="1244"/>
      <c r="F594" s="1244"/>
      <c r="I594" s="1058"/>
    </row>
    <row r="595" spans="1:9">
      <c r="A595" s="1058"/>
      <c r="B595" s="1058"/>
      <c r="D595" s="1244"/>
      <c r="E595" s="1244"/>
      <c r="F595" s="1244"/>
      <c r="I595" s="1058"/>
    </row>
    <row r="596" spans="1:9">
      <c r="A596" s="1058"/>
      <c r="B596" s="1058"/>
      <c r="D596" s="1244"/>
      <c r="E596" s="1244"/>
      <c r="F596" s="1244"/>
      <c r="I596" s="1058"/>
    </row>
    <row r="597" spans="1:9">
      <c r="A597" s="1058"/>
      <c r="B597" s="1058"/>
      <c r="D597" s="1244"/>
      <c r="E597" s="1244"/>
      <c r="F597" s="1244"/>
      <c r="I597" s="1058"/>
    </row>
    <row r="598" spans="1:9">
      <c r="A598" s="1058"/>
      <c r="B598" s="1058"/>
      <c r="D598" s="1055"/>
      <c r="E598" s="1055"/>
      <c r="F598" s="1055"/>
      <c r="I598" s="1058"/>
    </row>
    <row r="599" spans="1:9">
      <c r="A599" s="1058"/>
      <c r="B599" s="338" t="s">
        <v>309</v>
      </c>
      <c r="D599" s="1244" t="s">
        <v>473</v>
      </c>
      <c r="E599" s="1244"/>
      <c r="F599" s="1244"/>
      <c r="I599" s="1058"/>
    </row>
    <row r="600" spans="1:9">
      <c r="A600" s="1058"/>
      <c r="B600" s="1058"/>
      <c r="D600" s="1244"/>
      <c r="E600" s="1244"/>
      <c r="F600" s="1244"/>
      <c r="I600" s="1058"/>
    </row>
    <row r="601" spans="1:9">
      <c r="A601" s="1058"/>
      <c r="B601" s="1058"/>
      <c r="D601" s="351"/>
      <c r="I601" s="1058"/>
    </row>
    <row r="602" spans="1:9">
      <c r="A602" s="1058"/>
      <c r="B602" s="338" t="s">
        <v>314</v>
      </c>
      <c r="D602" s="1244" t="s">
        <v>474</v>
      </c>
      <c r="E602" s="1244"/>
      <c r="F602" s="1244"/>
      <c r="I602" s="1058"/>
    </row>
    <row r="603" spans="1:9">
      <c r="A603" s="1058"/>
      <c r="B603" s="1058"/>
      <c r="D603" s="1244"/>
      <c r="E603" s="1244"/>
      <c r="F603" s="1244"/>
      <c r="I603" s="1058"/>
    </row>
    <row r="604" spans="1:9">
      <c r="A604" s="337"/>
      <c r="B604" s="337"/>
      <c r="D604" s="351"/>
      <c r="I604" s="1058"/>
    </row>
    <row r="605" spans="1:9">
      <c r="A605" s="1243" t="s">
        <v>475</v>
      </c>
      <c r="B605" s="1243"/>
      <c r="C605" s="1243"/>
      <c r="D605" s="1243"/>
      <c r="E605" s="1243"/>
      <c r="F605" s="1243"/>
      <c r="G605" s="1243"/>
      <c r="H605" s="811"/>
      <c r="I605" s="933"/>
    </row>
    <row r="606" spans="1:9">
      <c r="I606" s="1058"/>
    </row>
    <row r="607" spans="1:9">
      <c r="D607" s="1248" t="s">
        <v>476</v>
      </c>
      <c r="E607" s="1248"/>
      <c r="F607" s="1248"/>
      <c r="I607" s="1058"/>
    </row>
    <row r="608" spans="1:9">
      <c r="D608" s="1249" t="s">
        <v>477</v>
      </c>
      <c r="E608" s="1249"/>
      <c r="F608" s="1249"/>
      <c r="I608" s="1058"/>
    </row>
    <row r="609" spans="1:9">
      <c r="D609" s="1039"/>
      <c r="I609" s="1058"/>
    </row>
    <row r="610" spans="1:9" ht="14.25" customHeight="1">
      <c r="A610" s="337"/>
      <c r="B610" s="338" t="s">
        <v>478</v>
      </c>
      <c r="D610" s="1269" t="s">
        <v>479</v>
      </c>
      <c r="E610" s="1269"/>
      <c r="F610" s="1269"/>
      <c r="I610" s="1058"/>
    </row>
    <row r="611" spans="1:9">
      <c r="D611" s="1269"/>
      <c r="E611" s="1269"/>
      <c r="F611" s="1269"/>
      <c r="I611" s="1058"/>
    </row>
    <row r="612" spans="1:9">
      <c r="D612" s="1056"/>
      <c r="E612" s="819" t="s">
        <v>480</v>
      </c>
      <c r="F612" s="1056"/>
      <c r="I612" s="1058"/>
    </row>
    <row r="613" spans="1:9">
      <c r="I613" s="1058"/>
    </row>
    <row r="614" spans="1:9">
      <c r="A614" s="1243" t="s">
        <v>481</v>
      </c>
      <c r="B614" s="1243"/>
      <c r="C614" s="1243"/>
      <c r="D614" s="1243"/>
      <c r="E614" s="1243"/>
      <c r="F614" s="1243"/>
      <c r="G614" s="1243"/>
      <c r="H614" s="811"/>
      <c r="I614" s="933"/>
    </row>
    <row r="615" spans="1:9">
      <c r="A615" s="1049"/>
      <c r="B615" s="1049"/>
      <c r="I615" s="1058"/>
    </row>
    <row r="616" spans="1:9">
      <c r="A616" s="1061"/>
      <c r="B616" s="1061"/>
      <c r="C616" s="1061"/>
      <c r="D616" s="1277" t="s">
        <v>482</v>
      </c>
      <c r="E616" s="1277"/>
      <c r="F616" s="1277"/>
      <c r="I616" s="1058"/>
    </row>
    <row r="617" spans="1:9">
      <c r="A617" s="1061"/>
      <c r="B617" s="1061"/>
      <c r="C617" s="1061"/>
      <c r="D617" s="1277"/>
      <c r="E617" s="1277"/>
      <c r="F617" s="1277"/>
      <c r="I617" s="1058"/>
    </row>
    <row r="618" spans="1:9">
      <c r="C618" s="336"/>
      <c r="D618" s="1249" t="s">
        <v>483</v>
      </c>
      <c r="E618" s="1249"/>
      <c r="F618" s="1249"/>
      <c r="I618" s="1058"/>
    </row>
    <row r="619" spans="1:9">
      <c r="C619" s="336"/>
      <c r="D619" s="1039"/>
      <c r="E619" s="1039"/>
      <c r="F619" s="1039"/>
      <c r="I619" s="1058"/>
    </row>
    <row r="620" spans="1:9" ht="12.75" customHeight="1">
      <c r="A620" s="1058"/>
      <c r="B620" s="338" t="s">
        <v>309</v>
      </c>
      <c r="D620" s="1265" t="s">
        <v>484</v>
      </c>
      <c r="E620" s="1265"/>
      <c r="F620" s="1265"/>
      <c r="I620" s="1058"/>
    </row>
    <row r="621" spans="1:9">
      <c r="D621" s="1265"/>
      <c r="E621" s="1265"/>
      <c r="F621" s="1265"/>
      <c r="I621" s="1058"/>
    </row>
    <row r="622" spans="1:9">
      <c r="I622" s="1058"/>
    </row>
    <row r="623" spans="1:9">
      <c r="B623" s="338" t="s">
        <v>309</v>
      </c>
      <c r="D623" s="1265" t="s">
        <v>485</v>
      </c>
      <c r="E623" s="1265"/>
      <c r="F623" s="1265"/>
      <c r="I623" s="1058"/>
    </row>
    <row r="624" spans="1:9">
      <c r="C624" s="352"/>
      <c r="D624" s="1265"/>
      <c r="E624" s="1265"/>
      <c r="F624" s="1265"/>
      <c r="I624" s="1058"/>
    </row>
    <row r="625" spans="1:9">
      <c r="C625" s="352"/>
      <c r="I625" s="1058"/>
    </row>
    <row r="626" spans="1:9">
      <c r="B626" s="338" t="s">
        <v>309</v>
      </c>
      <c r="C626" s="352"/>
      <c r="D626" s="1265" t="s">
        <v>486</v>
      </c>
      <c r="E626" s="1265"/>
      <c r="F626" s="1265"/>
      <c r="I626" s="1058"/>
    </row>
    <row r="627" spans="1:9">
      <c r="C627" s="352"/>
      <c r="D627" s="1265"/>
      <c r="E627" s="1265"/>
      <c r="F627" s="1265"/>
      <c r="I627" s="352"/>
    </row>
    <row r="628" spans="1:9">
      <c r="C628" s="352"/>
      <c r="I628" s="1058"/>
    </row>
    <row r="629" spans="1:9">
      <c r="A629" s="1243" t="s">
        <v>487</v>
      </c>
      <c r="B629" s="1243"/>
      <c r="C629" s="1243"/>
      <c r="D629" s="1243"/>
      <c r="E629" s="1243"/>
      <c r="F629" s="1243"/>
      <c r="G629" s="1243"/>
      <c r="H629" s="811"/>
      <c r="I629" s="933"/>
    </row>
    <row r="630" spans="1:9">
      <c r="A630" s="1061"/>
      <c r="B630" s="1061"/>
      <c r="C630" s="1061"/>
      <c r="I630" s="1058"/>
    </row>
    <row r="631" spans="1:9">
      <c r="C631" s="1058"/>
      <c r="D631" s="1248" t="s">
        <v>488</v>
      </c>
      <c r="E631" s="1248"/>
      <c r="F631" s="1248"/>
      <c r="I631" s="1058"/>
    </row>
    <row r="632" spans="1:9">
      <c r="A632" s="1058"/>
      <c r="B632" s="1058"/>
      <c r="D632" s="274"/>
      <c r="I632" s="1058"/>
    </row>
    <row r="633" spans="1:9" ht="14.25" customHeight="1">
      <c r="A633" s="337"/>
      <c r="B633" s="338" t="s">
        <v>309</v>
      </c>
      <c r="D633" s="1269" t="s">
        <v>489</v>
      </c>
      <c r="E633" s="1269"/>
      <c r="F633" s="1269"/>
      <c r="I633" s="1058"/>
    </row>
    <row r="634" spans="1:9">
      <c r="D634" s="1269"/>
      <c r="E634" s="1269"/>
      <c r="F634" s="1269"/>
      <c r="I634" s="1058"/>
    </row>
    <row r="635" spans="1:9">
      <c r="D635" s="1056"/>
      <c r="E635" s="819" t="s">
        <v>490</v>
      </c>
      <c r="F635" s="1056"/>
      <c r="I635" s="1058"/>
    </row>
    <row r="636" spans="1:9">
      <c r="D636" s="1240" t="s">
        <v>491</v>
      </c>
      <c r="E636" s="1240"/>
      <c r="F636" s="1240"/>
      <c r="I636" s="1058"/>
    </row>
    <row r="637" spans="1:9">
      <c r="D637" s="1240"/>
      <c r="E637" s="1240"/>
      <c r="F637" s="1240"/>
      <c r="I637" s="1058"/>
    </row>
    <row r="638" spans="1:9">
      <c r="D638" s="1240"/>
      <c r="E638" s="1240"/>
      <c r="F638" s="1240"/>
      <c r="I638" s="1058"/>
    </row>
    <row r="639" spans="1:9">
      <c r="D639" s="1050"/>
      <c r="E639" s="1050"/>
      <c r="F639" s="1050"/>
      <c r="I639" s="1058"/>
    </row>
    <row r="640" spans="1:9">
      <c r="A640" s="337"/>
      <c r="B640" s="338" t="s">
        <v>314</v>
      </c>
      <c r="D640" s="1240" t="s">
        <v>492</v>
      </c>
      <c r="E640" s="1240"/>
      <c r="F640" s="1240"/>
      <c r="I640" s="1058"/>
    </row>
    <row r="641" spans="1:9">
      <c r="A641" s="340"/>
      <c r="B641" s="340"/>
      <c r="C641" s="340"/>
      <c r="D641" s="1240"/>
      <c r="E641" s="1240"/>
      <c r="F641" s="1240"/>
      <c r="I641" s="1058"/>
    </row>
    <row r="642" spans="1:9">
      <c r="A642" s="340"/>
      <c r="B642" s="340"/>
      <c r="C642" s="340"/>
      <c r="D642" s="1049"/>
      <c r="E642" s="1049"/>
      <c r="F642" s="1049"/>
      <c r="I642" s="1058"/>
    </row>
    <row r="643" spans="1:9">
      <c r="A643" s="337"/>
      <c r="B643" s="338" t="s">
        <v>314</v>
      </c>
      <c r="C643" s="340"/>
      <c r="D643" s="1240" t="s">
        <v>493</v>
      </c>
      <c r="E643" s="1240"/>
      <c r="F643" s="1240"/>
      <c r="I643" s="1058"/>
    </row>
    <row r="644" spans="1:9">
      <c r="A644" s="337"/>
      <c r="B644" s="337"/>
      <c r="C644" s="340"/>
      <c r="D644" s="1240"/>
      <c r="E644" s="1240"/>
      <c r="F644" s="1240"/>
      <c r="I644" s="1058"/>
    </row>
    <row r="645" spans="1:9">
      <c r="A645" s="337"/>
      <c r="B645" s="337"/>
      <c r="C645" s="340"/>
      <c r="D645" s="1240"/>
      <c r="E645" s="1240"/>
      <c r="F645" s="1240"/>
      <c r="I645" s="1058"/>
    </row>
    <row r="646" spans="1:9">
      <c r="A646" s="340"/>
      <c r="B646" s="338" t="s">
        <v>314</v>
      </c>
      <c r="C646" s="340"/>
      <c r="D646" s="1241" t="s">
        <v>494</v>
      </c>
      <c r="E646" s="1241"/>
      <c r="F646" s="1241"/>
      <c r="I646" s="1058"/>
    </row>
    <row r="647" spans="1:9">
      <c r="A647" s="340"/>
      <c r="B647" s="340"/>
      <c r="C647" s="340"/>
      <c r="D647" s="1049"/>
      <c r="E647" s="1049"/>
      <c r="F647" s="1049"/>
      <c r="I647" s="1058"/>
    </row>
    <row r="648" spans="1:9">
      <c r="A648" s="1243" t="s">
        <v>495</v>
      </c>
      <c r="B648" s="1243"/>
      <c r="C648" s="1243"/>
      <c r="D648" s="1243"/>
      <c r="E648" s="1243"/>
      <c r="F648" s="1243"/>
      <c r="G648" s="1243"/>
      <c r="H648" s="811"/>
      <c r="I648" s="933"/>
    </row>
    <row r="649" spans="1:9">
      <c r="A649" s="1049"/>
      <c r="B649" s="1049"/>
      <c r="C649" s="340"/>
      <c r="D649" s="1049"/>
      <c r="E649" s="1049"/>
      <c r="F649" s="1049"/>
      <c r="I649" s="1058"/>
    </row>
    <row r="650" spans="1:9">
      <c r="C650" s="1061"/>
      <c r="D650" s="1248" t="s">
        <v>496</v>
      </c>
      <c r="E650" s="1248"/>
      <c r="F650" s="1248"/>
      <c r="I650" s="1058"/>
    </row>
    <row r="651" spans="1:9">
      <c r="A651" s="336"/>
      <c r="B651" s="336"/>
      <c r="C651" s="336"/>
      <c r="D651" s="1241" t="s">
        <v>497</v>
      </c>
      <c r="E651" s="1241"/>
      <c r="F651" s="1241"/>
      <c r="I651" s="1058"/>
    </row>
    <row r="652" spans="1:9">
      <c r="A652" s="336"/>
      <c r="B652" s="336"/>
      <c r="C652" s="336"/>
      <c r="D652" s="1049"/>
      <c r="E652" s="1049"/>
      <c r="F652" s="1049"/>
      <c r="I652" s="1058"/>
    </row>
    <row r="653" spans="1:9" ht="12.75" customHeight="1">
      <c r="B653" s="338" t="s">
        <v>314</v>
      </c>
      <c r="C653" s="340"/>
      <c r="D653" s="1240" t="s">
        <v>498</v>
      </c>
      <c r="E653" s="1240"/>
      <c r="F653" s="1240"/>
      <c r="I653" s="1058"/>
    </row>
    <row r="654" spans="1:9">
      <c r="D654" s="1240"/>
      <c r="E654" s="1240"/>
      <c r="F654" s="1240"/>
      <c r="I654" s="1058"/>
    </row>
    <row r="655" spans="1:9">
      <c r="D655" s="1240"/>
      <c r="E655" s="1240"/>
      <c r="F655" s="1240"/>
      <c r="I655" s="1058"/>
    </row>
    <row r="656" spans="1:9">
      <c r="D656" s="1240"/>
      <c r="E656" s="1240"/>
      <c r="F656" s="1240"/>
      <c r="I656" s="1058"/>
    </row>
    <row r="657" spans="1:9" ht="14.5" customHeight="1">
      <c r="A657" s="337"/>
      <c r="B657" s="337"/>
      <c r="C657" s="340"/>
      <c r="D657" s="1056"/>
      <c r="E657" s="1056"/>
      <c r="F657" s="1056"/>
      <c r="I657" s="1058"/>
    </row>
    <row r="658" spans="1:9" ht="12.75" customHeight="1">
      <c r="A658" s="336"/>
      <c r="B658" s="338" t="s">
        <v>314</v>
      </c>
      <c r="C658" s="340"/>
      <c r="D658" s="1240" t="s">
        <v>499</v>
      </c>
      <c r="E658" s="1240"/>
      <c r="F658" s="1240"/>
      <c r="I658" s="1058"/>
    </row>
    <row r="659" spans="1:9">
      <c r="A659" s="336"/>
      <c r="B659" s="337"/>
      <c r="C659" s="340"/>
      <c r="D659" s="1240"/>
      <c r="E659" s="1240"/>
      <c r="F659" s="1240"/>
      <c r="I659" s="1058"/>
    </row>
    <row r="660" spans="1:9">
      <c r="A660" s="336"/>
      <c r="B660" s="337"/>
      <c r="C660" s="340"/>
      <c r="D660" s="1240"/>
      <c r="E660" s="1240"/>
      <c r="F660" s="1240"/>
      <c r="I660" s="1058"/>
    </row>
    <row r="661" spans="1:9">
      <c r="A661" s="336"/>
      <c r="B661" s="337"/>
      <c r="C661" s="340"/>
      <c r="D661" s="1240"/>
      <c r="E661" s="1240"/>
      <c r="F661" s="1240"/>
      <c r="I661" s="1058"/>
    </row>
    <row r="662" spans="1:9">
      <c r="A662" s="336"/>
      <c r="B662" s="337"/>
      <c r="C662" s="340"/>
      <c r="D662" s="1240"/>
      <c r="E662" s="1240"/>
      <c r="F662" s="1240"/>
      <c r="I662" s="1058"/>
    </row>
    <row r="663" spans="1:9" ht="14.25" customHeight="1">
      <c r="A663" s="336"/>
      <c r="B663" s="337"/>
      <c r="C663" s="340"/>
      <c r="F663" s="258"/>
      <c r="I663" s="1058"/>
    </row>
    <row r="664" spans="1:9" ht="12.75" customHeight="1">
      <c r="A664" s="336"/>
      <c r="B664" s="338" t="s">
        <v>314</v>
      </c>
      <c r="C664" s="340"/>
      <c r="D664" s="1240" t="s">
        <v>500</v>
      </c>
      <c r="E664" s="1240"/>
      <c r="F664" s="1240"/>
      <c r="I664" s="1058"/>
    </row>
    <row r="665" spans="1:9">
      <c r="A665" s="336"/>
      <c r="B665" s="337"/>
      <c r="C665" s="340"/>
      <c r="D665" s="1240"/>
      <c r="E665" s="1240"/>
      <c r="F665" s="1240"/>
      <c r="I665" s="1058"/>
    </row>
    <row r="666" spans="1:9">
      <c r="A666" s="337"/>
      <c r="B666" s="337"/>
      <c r="C666" s="340"/>
      <c r="D666" s="1240"/>
      <c r="E666" s="1240"/>
      <c r="F666" s="1240"/>
      <c r="I666" s="1058"/>
    </row>
    <row r="667" spans="1:9">
      <c r="A667" s="337"/>
      <c r="B667" s="337"/>
      <c r="C667" s="340"/>
      <c r="D667" s="1240"/>
      <c r="E667" s="1240"/>
      <c r="F667" s="1240"/>
      <c r="I667" s="1058"/>
    </row>
    <row r="668" spans="1:9">
      <c r="A668" s="337"/>
      <c r="B668" s="337"/>
      <c r="C668" s="340"/>
      <c r="D668" s="1050"/>
      <c r="E668" s="1050"/>
      <c r="F668" s="1050"/>
      <c r="I668" s="1058"/>
    </row>
    <row r="669" spans="1:9" ht="12.75" customHeight="1">
      <c r="A669" s="336"/>
      <c r="B669" s="338" t="s">
        <v>314</v>
      </c>
      <c r="C669" s="340"/>
      <c r="D669" s="1240" t="s">
        <v>501</v>
      </c>
      <c r="E669" s="1240"/>
      <c r="F669" s="1240"/>
      <c r="I669" s="1058"/>
    </row>
    <row r="670" spans="1:9" ht="12.75" customHeight="1">
      <c r="A670" s="336"/>
      <c r="B670" s="337"/>
      <c r="C670" s="340"/>
      <c r="D670" s="1240"/>
      <c r="E670" s="1240"/>
      <c r="F670" s="1240"/>
      <c r="I670" s="1058"/>
    </row>
    <row r="671" spans="1:9" ht="12.75" customHeight="1">
      <c r="A671" s="336"/>
      <c r="B671" s="337"/>
      <c r="C671" s="340"/>
      <c r="D671" s="1240"/>
      <c r="E671" s="1240"/>
      <c r="F671" s="1240"/>
      <c r="I671" s="1058"/>
    </row>
    <row r="672" spans="1:9" ht="12.75" customHeight="1">
      <c r="A672" s="336"/>
      <c r="B672" s="337"/>
      <c r="C672" s="340"/>
      <c r="D672" s="1240"/>
      <c r="E672" s="1240"/>
      <c r="F672" s="1240"/>
      <c r="I672" s="1058"/>
    </row>
    <row r="673" spans="1:11" ht="12.75" customHeight="1">
      <c r="A673" s="336"/>
      <c r="B673" s="337"/>
      <c r="C673" s="340"/>
      <c r="D673" s="1240"/>
      <c r="E673" s="1240"/>
      <c r="F673" s="1240"/>
      <c r="I673" s="1058"/>
    </row>
    <row r="674" spans="1:11" ht="12.75" customHeight="1">
      <c r="A674" s="336"/>
      <c r="B674" s="337"/>
      <c r="C674" s="340"/>
      <c r="D674" s="1240"/>
      <c r="E674" s="1240"/>
      <c r="F674" s="1240"/>
      <c r="I674" s="1058"/>
    </row>
    <row r="675" spans="1:11" ht="12.75" customHeight="1">
      <c r="A675" s="336"/>
      <c r="B675" s="337"/>
      <c r="C675" s="340"/>
      <c r="D675" s="1240"/>
      <c r="E675" s="1240"/>
      <c r="F675" s="1240"/>
      <c r="I675" s="1058"/>
    </row>
    <row r="676" spans="1:11" ht="12.75" customHeight="1">
      <c r="A676" s="336"/>
      <c r="B676" s="337"/>
      <c r="C676" s="340"/>
      <c r="D676" s="1240"/>
      <c r="E676" s="1240"/>
      <c r="F676" s="1240"/>
      <c r="I676" s="1058"/>
    </row>
    <row r="677" spans="1:11" ht="12.75" customHeight="1">
      <c r="A677" s="336"/>
      <c r="B677" s="337"/>
      <c r="C677" s="340"/>
      <c r="D677" s="1240"/>
      <c r="E677" s="1240"/>
      <c r="F677" s="1240"/>
      <c r="I677" s="1058"/>
    </row>
    <row r="678" spans="1:11">
      <c r="A678" s="340"/>
      <c r="B678" s="340"/>
      <c r="C678" s="340"/>
      <c r="D678" s="1049"/>
      <c r="E678" s="1049"/>
      <c r="F678" s="1049"/>
      <c r="I678" s="1058"/>
    </row>
    <row r="679" spans="1:11">
      <c r="A679" s="1243" t="s">
        <v>502</v>
      </c>
      <c r="B679" s="1243"/>
      <c r="C679" s="1243"/>
      <c r="D679" s="1243"/>
      <c r="E679" s="1243"/>
      <c r="F679" s="1243"/>
      <c r="G679" s="1243"/>
      <c r="H679" s="813"/>
      <c r="I679" s="937"/>
      <c r="J679" s="353"/>
      <c r="K679" s="353"/>
    </row>
    <row r="680" spans="1:11">
      <c r="A680" s="1060"/>
      <c r="B680" s="1060"/>
      <c r="C680" s="1060"/>
      <c r="D680" s="1060"/>
      <c r="E680" s="1060"/>
      <c r="F680" s="1060"/>
      <c r="G680" s="1060"/>
      <c r="H680" s="353"/>
      <c r="I680" s="336"/>
      <c r="J680" s="353"/>
      <c r="K680" s="353"/>
    </row>
    <row r="681" spans="1:11">
      <c r="C681" s="1061"/>
      <c r="D681" s="1248" t="s">
        <v>503</v>
      </c>
      <c r="E681" s="1248"/>
      <c r="F681" s="1248"/>
      <c r="H681" s="353"/>
      <c r="I681" s="336"/>
      <c r="J681" s="353"/>
      <c r="K681" s="353"/>
    </row>
    <row r="682" spans="1:11">
      <c r="A682" s="1061"/>
      <c r="B682" s="1061"/>
      <c r="C682" s="1061"/>
      <c r="D682" s="1248" t="s">
        <v>504</v>
      </c>
      <c r="E682" s="1248"/>
      <c r="F682" s="1248"/>
      <c r="H682" s="353"/>
      <c r="I682" s="336"/>
      <c r="J682" s="353"/>
      <c r="K682" s="353"/>
    </row>
    <row r="683" spans="1:11">
      <c r="A683" s="336"/>
      <c r="B683" s="336"/>
      <c r="C683" s="336"/>
      <c r="D683" s="1241" t="s">
        <v>505</v>
      </c>
      <c r="E683" s="1241"/>
      <c r="F683" s="1241"/>
      <c r="H683" s="353"/>
      <c r="I683" s="336"/>
      <c r="J683" s="353"/>
      <c r="K683" s="353"/>
    </row>
    <row r="684" spans="1:11">
      <c r="A684" s="336"/>
      <c r="B684" s="336"/>
      <c r="C684" s="336"/>
      <c r="H684" s="353"/>
      <c r="I684" s="336"/>
      <c r="J684" s="353"/>
      <c r="K684" s="353"/>
    </row>
    <row r="685" spans="1:11">
      <c r="A685" s="337"/>
      <c r="B685" s="338" t="s">
        <v>309</v>
      </c>
      <c r="C685" s="336"/>
      <c r="D685" s="1241" t="s">
        <v>506</v>
      </c>
      <c r="E685" s="1241"/>
      <c r="F685" s="1241"/>
      <c r="H685" s="353"/>
      <c r="I685" s="336"/>
      <c r="J685" s="353"/>
      <c r="K685" s="353"/>
    </row>
    <row r="686" spans="1:11">
      <c r="A686" s="336"/>
      <c r="B686" s="336"/>
      <c r="C686" s="336"/>
      <c r="D686" s="1241" t="s">
        <v>507</v>
      </c>
      <c r="E686" s="1241"/>
      <c r="F686" s="1241"/>
      <c r="H686" s="353"/>
      <c r="I686" s="336"/>
      <c r="J686" s="353"/>
      <c r="K686" s="353"/>
    </row>
    <row r="687" spans="1:11" ht="12.75" customHeight="1">
      <c r="A687" s="336"/>
      <c r="B687" s="336"/>
      <c r="C687" s="336"/>
      <c r="E687" s="819" t="s">
        <v>508</v>
      </c>
      <c r="F687" s="289"/>
      <c r="H687" s="353"/>
      <c r="I687" s="336"/>
      <c r="J687" s="353"/>
      <c r="K687" s="353"/>
    </row>
    <row r="688" spans="1:11">
      <c r="A688" s="336"/>
      <c r="B688" s="336"/>
      <c r="C688" s="336"/>
      <c r="E688" s="353" t="s">
        <v>509</v>
      </c>
      <c r="F688" s="289"/>
      <c r="I688" s="336"/>
      <c r="J688" s="353"/>
      <c r="K688" s="353"/>
    </row>
    <row r="689" spans="1:11">
      <c r="A689" s="336"/>
      <c r="B689" s="336"/>
      <c r="C689" s="336"/>
      <c r="D689" s="354"/>
      <c r="E689" s="1049"/>
      <c r="H689" s="353"/>
      <c r="I689" s="336"/>
      <c r="J689" s="353"/>
      <c r="K689" s="353"/>
    </row>
    <row r="690" spans="1:11">
      <c r="A690" s="337"/>
      <c r="B690" s="338" t="s">
        <v>314</v>
      </c>
      <c r="C690" s="336"/>
      <c r="D690" s="1240" t="s">
        <v>510</v>
      </c>
      <c r="E690" s="1240"/>
      <c r="F690" s="1240"/>
      <c r="H690" s="353"/>
      <c r="I690" s="336"/>
      <c r="J690" s="353"/>
      <c r="K690" s="353"/>
    </row>
    <row r="691" spans="1:11">
      <c r="A691" s="1058"/>
      <c r="B691" s="1058"/>
      <c r="C691" s="336"/>
      <c r="D691" s="1240"/>
      <c r="E691" s="1240"/>
      <c r="F691" s="1240"/>
      <c r="H691" s="353"/>
      <c r="I691" s="336"/>
      <c r="J691" s="353"/>
      <c r="K691" s="353"/>
    </row>
    <row r="692" spans="1:11">
      <c r="A692" s="336"/>
      <c r="B692" s="336"/>
      <c r="C692" s="336"/>
      <c r="D692" s="1240"/>
      <c r="E692" s="1240"/>
      <c r="F692" s="1240"/>
      <c r="H692" s="353"/>
      <c r="I692" s="336"/>
      <c r="J692" s="353"/>
      <c r="K692" s="353"/>
    </row>
    <row r="693" spans="1:11">
      <c r="A693" s="336"/>
      <c r="B693" s="336"/>
      <c r="C693" s="336"/>
      <c r="H693" s="353"/>
      <c r="J693" s="353"/>
      <c r="K693" s="353"/>
    </row>
    <row r="694" spans="1:11">
      <c r="A694" s="337"/>
      <c r="B694" s="338" t="s">
        <v>309</v>
      </c>
      <c r="C694" s="336"/>
      <c r="D694" s="1241" t="s">
        <v>511</v>
      </c>
      <c r="E694" s="1241"/>
      <c r="F694" s="1241"/>
      <c r="H694" s="353"/>
      <c r="I694" s="336"/>
      <c r="J694" s="353"/>
      <c r="K694" s="353"/>
    </row>
    <row r="695" spans="1:11">
      <c r="A695" s="337"/>
      <c r="B695" s="337"/>
      <c r="C695" s="336"/>
      <c r="D695" s="1241" t="s">
        <v>507</v>
      </c>
      <c r="E695" s="1241"/>
      <c r="F695" s="1241"/>
      <c r="H695" s="353"/>
      <c r="I695" s="336"/>
      <c r="J695" s="353"/>
      <c r="K695" s="353"/>
    </row>
    <row r="696" spans="1:11">
      <c r="A696" s="336"/>
      <c r="B696" s="336"/>
      <c r="C696" s="336"/>
      <c r="E696" s="819" t="s">
        <v>512</v>
      </c>
      <c r="F696" s="274"/>
      <c r="H696" s="353"/>
      <c r="I696" s="336"/>
      <c r="J696" s="353"/>
      <c r="K696" s="353"/>
    </row>
    <row r="697" spans="1:11">
      <c r="A697" s="336"/>
      <c r="B697" s="336"/>
      <c r="C697" s="336"/>
      <c r="D697" s="274"/>
      <c r="H697" s="353"/>
      <c r="I697" s="336"/>
      <c r="J697" s="353"/>
      <c r="K697" s="353"/>
    </row>
    <row r="698" spans="1:11">
      <c r="A698" s="337"/>
      <c r="B698" s="338" t="s">
        <v>314</v>
      </c>
      <c r="C698" s="336"/>
      <c r="D698" s="1241" t="s">
        <v>513</v>
      </c>
      <c r="E698" s="1241"/>
      <c r="F698" s="1241"/>
      <c r="H698" s="353"/>
      <c r="I698" s="336"/>
      <c r="J698" s="353"/>
      <c r="K698" s="353"/>
    </row>
    <row r="699" spans="1:11">
      <c r="A699" s="337"/>
      <c r="B699" s="337"/>
      <c r="C699" s="336"/>
      <c r="D699" s="1241" t="s">
        <v>507</v>
      </c>
      <c r="E699" s="1241"/>
      <c r="F699" s="1241"/>
      <c r="H699" s="353"/>
      <c r="I699" s="336"/>
      <c r="J699" s="353"/>
      <c r="K699" s="353"/>
    </row>
    <row r="700" spans="1:11">
      <c r="A700" s="336"/>
      <c r="B700" s="336"/>
      <c r="C700" s="336"/>
      <c r="E700" s="819" t="s">
        <v>514</v>
      </c>
      <c r="F700" s="274"/>
      <c r="H700" s="353"/>
      <c r="I700" s="336"/>
      <c r="J700" s="353"/>
      <c r="K700" s="353"/>
    </row>
    <row r="701" spans="1:11">
      <c r="A701" s="336"/>
      <c r="B701" s="336"/>
      <c r="C701" s="336"/>
      <c r="D701" s="274"/>
      <c r="H701" s="353"/>
      <c r="I701" s="336"/>
      <c r="J701" s="353"/>
      <c r="K701" s="353"/>
    </row>
    <row r="702" spans="1:11">
      <c r="A702" s="337"/>
      <c r="B702" s="338" t="s">
        <v>309</v>
      </c>
      <c r="C702" s="336"/>
      <c r="D702" s="1240" t="s">
        <v>515</v>
      </c>
      <c r="E702" s="1240"/>
      <c r="F702" s="1240"/>
      <c r="H702" s="353"/>
      <c r="I702" s="336"/>
      <c r="J702" s="353"/>
      <c r="K702" s="353"/>
    </row>
    <row r="703" spans="1:11">
      <c r="A703" s="336"/>
      <c r="B703" s="336"/>
      <c r="C703" s="336"/>
      <c r="D703" s="1240"/>
      <c r="E703" s="1240"/>
      <c r="F703" s="1240"/>
      <c r="H703" s="353"/>
      <c r="I703" s="336"/>
      <c r="J703" s="353"/>
      <c r="K703" s="353"/>
    </row>
    <row r="704" spans="1:11">
      <c r="A704" s="336"/>
      <c r="B704" s="336"/>
      <c r="C704" s="336"/>
      <c r="D704" s="1240"/>
      <c r="E704" s="1240"/>
      <c r="F704" s="1240"/>
      <c r="H704" s="353"/>
      <c r="I704" s="336"/>
      <c r="J704" s="353"/>
      <c r="K704" s="353"/>
    </row>
    <row r="705" spans="1:11">
      <c r="A705" s="336"/>
      <c r="B705" s="336"/>
      <c r="C705" s="336"/>
      <c r="D705" s="1240"/>
      <c r="E705" s="1240"/>
      <c r="F705" s="1240"/>
      <c r="H705" s="353"/>
      <c r="I705" s="336"/>
      <c r="J705" s="353"/>
      <c r="K705" s="353"/>
    </row>
    <row r="706" spans="1:11">
      <c r="A706" s="336"/>
      <c r="B706" s="336"/>
      <c r="C706" s="336"/>
      <c r="D706" s="1240"/>
      <c r="E706" s="1240"/>
      <c r="F706" s="1240"/>
      <c r="H706" s="353"/>
      <c r="I706" s="336"/>
      <c r="J706" s="353"/>
      <c r="K706" s="353"/>
    </row>
    <row r="707" spans="1:11">
      <c r="A707" s="336"/>
      <c r="B707" s="336"/>
      <c r="C707" s="336"/>
      <c r="D707" s="1240"/>
      <c r="E707" s="1240"/>
      <c r="F707" s="1240"/>
      <c r="H707" s="353"/>
      <c r="I707" s="336"/>
      <c r="J707" s="353"/>
      <c r="K707" s="353"/>
    </row>
    <row r="708" spans="1:11">
      <c r="A708" s="336"/>
      <c r="B708" s="336"/>
      <c r="C708" s="336"/>
      <c r="D708" s="1050"/>
      <c r="E708" s="1050"/>
      <c r="F708" s="1050"/>
      <c r="H708" s="353"/>
      <c r="I708" s="336"/>
      <c r="J708" s="353"/>
      <c r="K708" s="353"/>
    </row>
    <row r="709" spans="1:11">
      <c r="A709" s="336"/>
      <c r="B709" s="338" t="s">
        <v>309</v>
      </c>
      <c r="C709" s="336"/>
      <c r="D709" s="1240" t="s">
        <v>516</v>
      </c>
      <c r="E709" s="1240"/>
      <c r="F709" s="1240"/>
      <c r="H709" s="353"/>
      <c r="I709" s="336"/>
      <c r="J709" s="353"/>
      <c r="K709" s="353"/>
    </row>
    <row r="710" spans="1:11">
      <c r="A710" s="336"/>
      <c r="B710" s="336"/>
      <c r="C710" s="336"/>
      <c r="D710" s="1240"/>
      <c r="E710" s="1240"/>
      <c r="F710" s="1240"/>
      <c r="H710" s="353"/>
      <c r="I710" s="336"/>
      <c r="J710" s="353"/>
      <c r="K710" s="353"/>
    </row>
    <row r="711" spans="1:11">
      <c r="A711" s="336"/>
      <c r="B711" s="336"/>
      <c r="C711" s="336"/>
      <c r="D711" s="1050"/>
      <c r="E711" s="1050"/>
      <c r="F711" s="1050"/>
      <c r="H711" s="353"/>
      <c r="I711" s="336"/>
      <c r="J711" s="353"/>
      <c r="K711" s="353"/>
    </row>
    <row r="712" spans="1:11">
      <c r="A712" s="337"/>
      <c r="B712" s="338" t="s">
        <v>314</v>
      </c>
      <c r="C712" s="336"/>
      <c r="D712" s="1240" t="s">
        <v>517</v>
      </c>
      <c r="E712" s="1240"/>
      <c r="F712" s="1240"/>
      <c r="H712" s="353"/>
      <c r="I712" s="336"/>
      <c r="J712" s="353"/>
      <c r="K712" s="353"/>
    </row>
    <row r="713" spans="1:11">
      <c r="A713" s="336"/>
      <c r="B713" s="336"/>
      <c r="C713" s="336"/>
      <c r="D713" s="1240"/>
      <c r="E713" s="1240"/>
      <c r="F713" s="1240"/>
      <c r="H713" s="353"/>
      <c r="I713" s="336"/>
      <c r="J713" s="353"/>
      <c r="K713" s="353"/>
    </row>
    <row r="714" spans="1:11">
      <c r="A714" s="336"/>
      <c r="B714" s="336"/>
      <c r="C714" s="336"/>
      <c r="D714" s="1240"/>
      <c r="E714" s="1240"/>
      <c r="F714" s="1240"/>
      <c r="H714" s="353"/>
      <c r="I714" s="336"/>
      <c r="J714" s="353"/>
      <c r="K714" s="353"/>
    </row>
    <row r="715" spans="1:11" ht="15" customHeight="1">
      <c r="A715" s="336"/>
      <c r="B715" s="336"/>
      <c r="C715" s="336"/>
      <c r="D715" s="1240"/>
      <c r="E715" s="1240"/>
      <c r="F715" s="1240"/>
      <c r="H715" s="353"/>
      <c r="I715" s="336"/>
      <c r="J715" s="353"/>
      <c r="K715" s="353"/>
    </row>
    <row r="716" spans="1:11" ht="15" customHeight="1">
      <c r="A716" s="336"/>
      <c r="B716" s="336"/>
      <c r="C716" s="336"/>
      <c r="D716" s="1240"/>
      <c r="E716" s="1240"/>
      <c r="F716" s="1240"/>
      <c r="H716" s="353"/>
      <c r="I716" s="336"/>
      <c r="J716" s="353"/>
      <c r="K716" s="353"/>
    </row>
    <row r="717" spans="1:11">
      <c r="A717" s="336"/>
      <c r="B717" s="336"/>
      <c r="C717" s="336"/>
      <c r="D717" s="1240"/>
      <c r="E717" s="1240"/>
      <c r="F717" s="1240"/>
      <c r="H717" s="353"/>
      <c r="I717" s="336"/>
      <c r="J717" s="353"/>
      <c r="K717" s="353"/>
    </row>
    <row r="718" spans="1:11">
      <c r="A718" s="336"/>
      <c r="B718" s="336"/>
      <c r="C718" s="336"/>
      <c r="D718" s="1240"/>
      <c r="E718" s="1240"/>
      <c r="F718" s="1240"/>
      <c r="H718" s="353"/>
      <c r="I718" s="336"/>
      <c r="J718" s="353"/>
      <c r="K718" s="353"/>
    </row>
    <row r="719" spans="1:11">
      <c r="A719" s="336"/>
      <c r="B719" s="336"/>
      <c r="C719" s="336"/>
      <c r="D719" s="1240"/>
      <c r="E719" s="1240"/>
      <c r="F719" s="1240"/>
      <c r="H719" s="353"/>
      <c r="I719" s="336"/>
      <c r="J719" s="353"/>
      <c r="K719" s="353"/>
    </row>
    <row r="720" spans="1:11" ht="15" customHeight="1">
      <c r="A720" s="336"/>
      <c r="B720" s="336"/>
      <c r="C720" s="336"/>
      <c r="D720" s="1240"/>
      <c r="E720" s="1240"/>
      <c r="F720" s="1240"/>
      <c r="H720" s="353"/>
      <c r="I720" s="336"/>
      <c r="J720" s="353"/>
      <c r="K720" s="353"/>
    </row>
    <row r="721" spans="1:11">
      <c r="A721" s="336"/>
      <c r="B721" s="336"/>
      <c r="C721" s="336"/>
      <c r="D721" s="1240"/>
      <c r="E721" s="1240"/>
      <c r="F721" s="1240"/>
      <c r="H721" s="353"/>
      <c r="I721" s="336"/>
      <c r="J721" s="353"/>
      <c r="K721" s="353"/>
    </row>
    <row r="722" spans="1:11">
      <c r="A722" s="336"/>
      <c r="B722" s="336"/>
      <c r="C722" s="336"/>
      <c r="D722" s="1240"/>
      <c r="E722" s="1240"/>
      <c r="F722" s="1240"/>
      <c r="H722" s="353"/>
      <c r="I722" s="336"/>
      <c r="J722" s="353"/>
      <c r="K722" s="353"/>
    </row>
    <row r="723" spans="1:11">
      <c r="A723" s="336"/>
      <c r="B723" s="336"/>
      <c r="C723" s="336"/>
      <c r="D723" s="1240"/>
      <c r="E723" s="1240"/>
      <c r="F723" s="1240"/>
      <c r="H723" s="353"/>
      <c r="I723" s="336"/>
      <c r="J723" s="353"/>
      <c r="K723" s="353"/>
    </row>
    <row r="724" spans="1:11">
      <c r="A724" s="336"/>
      <c r="B724" s="336"/>
      <c r="C724" s="336"/>
      <c r="D724" s="1240"/>
      <c r="E724" s="1240"/>
      <c r="F724" s="1240"/>
      <c r="H724" s="353"/>
      <c r="I724" s="336"/>
      <c r="J724" s="353"/>
      <c r="K724" s="353"/>
    </row>
    <row r="725" spans="1:11">
      <c r="A725" s="336"/>
      <c r="B725" s="338" t="s">
        <v>314</v>
      </c>
      <c r="C725" s="336"/>
      <c r="D725" s="1240" t="s">
        <v>518</v>
      </c>
      <c r="E725" s="1240"/>
      <c r="F725" s="1240"/>
      <c r="H725" s="353"/>
      <c r="I725" s="336"/>
      <c r="J725" s="353"/>
      <c r="K725" s="353"/>
    </row>
    <row r="726" spans="1:11">
      <c r="A726" s="336"/>
      <c r="B726" s="336"/>
      <c r="C726" s="336"/>
      <c r="D726" s="1240"/>
      <c r="E726" s="1240"/>
      <c r="F726" s="1240"/>
      <c r="H726" s="353"/>
      <c r="I726" s="336"/>
      <c r="J726" s="353"/>
      <c r="K726" s="353"/>
    </row>
    <row r="727" spans="1:11">
      <c r="A727" s="336"/>
      <c r="B727" s="336"/>
      <c r="C727" s="336"/>
      <c r="D727" s="1240"/>
      <c r="E727" s="1240"/>
      <c r="F727" s="1240"/>
      <c r="H727" s="353"/>
      <c r="I727" s="336"/>
      <c r="J727" s="353"/>
      <c r="K727" s="353"/>
    </row>
    <row r="728" spans="1:11">
      <c r="A728" s="336"/>
      <c r="B728" s="336"/>
      <c r="C728" s="336"/>
      <c r="D728" s="1050"/>
      <c r="E728" s="1050"/>
      <c r="F728" s="1050"/>
      <c r="H728" s="353"/>
      <c r="I728" s="336"/>
      <c r="J728" s="353"/>
      <c r="K728" s="353"/>
    </row>
    <row r="729" spans="1:11">
      <c r="A729" s="336"/>
      <c r="B729" s="338" t="s">
        <v>314</v>
      </c>
      <c r="C729" s="336"/>
      <c r="D729" s="1240" t="s">
        <v>519</v>
      </c>
      <c r="E729" s="1240"/>
      <c r="F729" s="1240"/>
      <c r="H729" s="353"/>
      <c r="I729" s="336"/>
      <c r="J729" s="353"/>
      <c r="K729" s="353"/>
    </row>
    <row r="730" spans="1:11">
      <c r="A730" s="336"/>
      <c r="B730" s="336"/>
      <c r="C730" s="336"/>
      <c r="D730" s="1240"/>
      <c r="E730" s="1240"/>
      <c r="F730" s="1240"/>
      <c r="H730" s="353"/>
      <c r="I730" s="336"/>
      <c r="J730" s="353"/>
      <c r="K730" s="353"/>
    </row>
    <row r="731" spans="1:11">
      <c r="A731" s="336"/>
      <c r="B731" s="336"/>
      <c r="C731" s="336"/>
      <c r="D731" s="1240"/>
      <c r="E731" s="1240"/>
      <c r="F731" s="1240"/>
      <c r="H731" s="353"/>
      <c r="I731" s="336"/>
      <c r="J731" s="353"/>
      <c r="K731" s="353"/>
    </row>
    <row r="732" spans="1:11">
      <c r="A732" s="336"/>
      <c r="B732" s="336"/>
      <c r="C732" s="336"/>
      <c r="H732" s="353"/>
      <c r="I732" s="336"/>
      <c r="J732" s="353"/>
      <c r="K732" s="353"/>
    </row>
    <row r="733" spans="1:11">
      <c r="A733" s="336"/>
      <c r="B733" s="338" t="s">
        <v>314</v>
      </c>
      <c r="C733" s="336"/>
      <c r="D733" s="1240" t="s">
        <v>520</v>
      </c>
      <c r="E733" s="1240"/>
      <c r="F733" s="1240"/>
      <c r="H733" s="353"/>
      <c r="I733" s="336"/>
      <c r="J733" s="353"/>
      <c r="K733" s="353"/>
    </row>
    <row r="734" spans="1:11">
      <c r="A734" s="336"/>
      <c r="B734" s="336"/>
      <c r="C734" s="336"/>
      <c r="D734" s="1240"/>
      <c r="E734" s="1240"/>
      <c r="F734" s="1240"/>
      <c r="H734" s="353"/>
      <c r="I734" s="336"/>
      <c r="J734" s="353"/>
      <c r="K734" s="353"/>
    </row>
    <row r="735" spans="1:11">
      <c r="A735" s="336"/>
      <c r="B735" s="336"/>
      <c r="C735" s="336"/>
      <c r="D735" s="1240"/>
      <c r="E735" s="1240"/>
      <c r="F735" s="1240"/>
      <c r="H735" s="353"/>
      <c r="I735" s="336"/>
      <c r="J735" s="353"/>
      <c r="K735" s="353"/>
    </row>
    <row r="736" spans="1:11">
      <c r="A736" s="336"/>
      <c r="B736" s="336"/>
      <c r="C736" s="336"/>
      <c r="D736" s="1240"/>
      <c r="E736" s="1240"/>
      <c r="F736" s="1240"/>
      <c r="H736" s="353"/>
      <c r="I736" s="336"/>
      <c r="J736" s="353"/>
      <c r="K736" s="353"/>
    </row>
    <row r="737" spans="1:11">
      <c r="A737" s="336"/>
      <c r="B737" s="336"/>
      <c r="C737" s="336"/>
      <c r="H737" s="353"/>
      <c r="I737" s="336"/>
      <c r="J737" s="353"/>
      <c r="K737" s="353"/>
    </row>
    <row r="738" spans="1:11">
      <c r="A738" s="337"/>
      <c r="B738" s="338" t="s">
        <v>314</v>
      </c>
      <c r="C738" s="336"/>
      <c r="D738" s="1240" t="s">
        <v>521</v>
      </c>
      <c r="E738" s="1240"/>
      <c r="F738" s="1240"/>
      <c r="H738" s="353"/>
      <c r="I738" s="336"/>
      <c r="J738" s="353"/>
      <c r="K738" s="353"/>
    </row>
    <row r="739" spans="1:11">
      <c r="A739" s="336"/>
      <c r="B739" s="336"/>
      <c r="C739" s="336"/>
      <c r="D739" s="1240"/>
      <c r="E739" s="1240"/>
      <c r="F739" s="1240"/>
      <c r="H739" s="353"/>
      <c r="I739" s="336"/>
      <c r="J739" s="353"/>
      <c r="K739" s="353"/>
    </row>
    <row r="740" spans="1:11">
      <c r="A740" s="336"/>
      <c r="B740" s="336"/>
      <c r="C740" s="336"/>
      <c r="D740" s="1240"/>
      <c r="E740" s="1240"/>
      <c r="F740" s="1240"/>
      <c r="H740" s="353"/>
      <c r="I740" s="336"/>
      <c r="J740" s="353"/>
      <c r="K740" s="353"/>
    </row>
    <row r="741" spans="1:11">
      <c r="A741" s="336"/>
      <c r="B741" s="336"/>
      <c r="C741" s="336"/>
      <c r="D741" s="1240"/>
      <c r="E741" s="1240"/>
      <c r="F741" s="1240"/>
      <c r="H741" s="353"/>
      <c r="I741" s="336"/>
      <c r="J741" s="353"/>
      <c r="K741" s="353"/>
    </row>
    <row r="742" spans="1:11">
      <c r="A742" s="336"/>
      <c r="B742" s="336"/>
      <c r="C742" s="336"/>
      <c r="D742" s="1240"/>
      <c r="E742" s="1240"/>
      <c r="F742" s="1240"/>
      <c r="H742" s="353"/>
      <c r="I742" s="336"/>
      <c r="J742" s="353"/>
      <c r="K742" s="353"/>
    </row>
    <row r="743" spans="1:11">
      <c r="A743" s="336"/>
      <c r="B743" s="336"/>
      <c r="C743" s="336"/>
      <c r="D743" s="344"/>
      <c r="H743" s="353"/>
      <c r="I743" s="336"/>
      <c r="J743" s="353"/>
      <c r="K743" s="353"/>
    </row>
    <row r="744" spans="1:11">
      <c r="A744" s="337"/>
      <c r="B744" s="338" t="s">
        <v>314</v>
      </c>
      <c r="C744" s="336"/>
      <c r="D744" s="1240" t="s">
        <v>522</v>
      </c>
      <c r="E744" s="1240"/>
      <c r="F744" s="1240"/>
      <c r="H744" s="353"/>
      <c r="I744" s="336"/>
      <c r="J744" s="353"/>
      <c r="K744" s="353"/>
    </row>
    <row r="745" spans="1:11">
      <c r="A745" s="336"/>
      <c r="B745" s="336"/>
      <c r="C745" s="336"/>
      <c r="D745" s="1240"/>
      <c r="E745" s="1240"/>
      <c r="F745" s="1240"/>
      <c r="H745" s="353"/>
      <c r="I745" s="336"/>
      <c r="J745" s="353"/>
      <c r="K745" s="353"/>
    </row>
    <row r="746" spans="1:11">
      <c r="A746" s="336"/>
      <c r="B746" s="336"/>
      <c r="C746" s="336"/>
      <c r="D746" s="1240"/>
      <c r="E746" s="1240"/>
      <c r="F746" s="1240"/>
      <c r="H746" s="353"/>
      <c r="I746" s="336"/>
      <c r="J746" s="353"/>
      <c r="K746" s="353"/>
    </row>
    <row r="747" spans="1:11">
      <c r="A747" s="336"/>
      <c r="B747" s="336"/>
      <c r="C747" s="336"/>
      <c r="D747" s="1240"/>
      <c r="E747" s="1240"/>
      <c r="F747" s="1240"/>
      <c r="H747" s="353"/>
      <c r="I747" s="336"/>
      <c r="J747" s="353"/>
      <c r="K747" s="353"/>
    </row>
    <row r="748" spans="1:11">
      <c r="A748" s="336"/>
      <c r="B748" s="336"/>
      <c r="C748" s="336"/>
      <c r="D748" s="1240"/>
      <c r="E748" s="1240"/>
      <c r="F748" s="1240"/>
      <c r="H748" s="353"/>
      <c r="I748" s="336"/>
      <c r="J748" s="353"/>
      <c r="K748" s="353"/>
    </row>
    <row r="749" spans="1:11">
      <c r="A749" s="336"/>
      <c r="B749" s="336"/>
      <c r="C749" s="336"/>
      <c r="D749" s="1240"/>
      <c r="E749" s="1240"/>
      <c r="F749" s="1240"/>
      <c r="H749" s="353"/>
      <c r="I749" s="336"/>
      <c r="J749" s="353"/>
      <c r="K749" s="353"/>
    </row>
    <row r="750" spans="1:11">
      <c r="A750" s="336"/>
      <c r="B750" s="336"/>
      <c r="C750" s="336"/>
      <c r="D750" s="1240"/>
      <c r="E750" s="1240"/>
      <c r="F750" s="1240"/>
      <c r="H750" s="353"/>
      <c r="I750" s="336"/>
      <c r="J750" s="353"/>
      <c r="K750" s="353"/>
    </row>
    <row r="751" spans="1:11">
      <c r="A751" s="336"/>
      <c r="B751" s="336"/>
      <c r="C751" s="336"/>
      <c r="D751" s="1278" t="s">
        <v>523</v>
      </c>
      <c r="E751" s="1278"/>
      <c r="F751" s="1278"/>
      <c r="H751" s="353"/>
      <c r="I751" s="336"/>
      <c r="J751" s="353"/>
      <c r="K751" s="353"/>
    </row>
    <row r="752" spans="1:11">
      <c r="A752" s="336"/>
      <c r="B752" s="336"/>
      <c r="C752" s="336"/>
      <c r="D752" s="1051"/>
      <c r="H752" s="353"/>
      <c r="I752" s="336"/>
      <c r="J752" s="353"/>
      <c r="K752" s="353"/>
    </row>
    <row r="753" spans="1:11">
      <c r="A753" s="1247" t="s">
        <v>524</v>
      </c>
      <c r="B753" s="1247"/>
      <c r="C753" s="1247"/>
      <c r="D753" s="1247"/>
      <c r="E753" s="1247"/>
      <c r="F753" s="1247"/>
      <c r="G753" s="1247"/>
      <c r="H753" s="813"/>
      <c r="I753" s="937"/>
      <c r="J753" s="353"/>
      <c r="K753" s="353"/>
    </row>
    <row r="754" spans="1:11">
      <c r="A754" s="336"/>
      <c r="B754" s="336"/>
      <c r="C754" s="336"/>
      <c r="D754" s="344"/>
      <c r="G754" s="353"/>
      <c r="H754" s="353"/>
      <c r="I754" s="336"/>
      <c r="J754" s="353"/>
      <c r="K754" s="353"/>
    </row>
    <row r="755" spans="1:11" ht="13.75" customHeight="1">
      <c r="C755" s="336"/>
      <c r="D755" s="1242" t="s">
        <v>525</v>
      </c>
      <c r="E755" s="1242"/>
      <c r="F755" s="1242"/>
      <c r="G755" s="353"/>
      <c r="H755" s="353"/>
      <c r="I755" s="336"/>
      <c r="J755" s="353"/>
      <c r="K755" s="353"/>
    </row>
    <row r="756" spans="1:11">
      <c r="A756" s="336"/>
      <c r="B756" s="336"/>
      <c r="C756" s="336"/>
      <c r="D756" s="1246" t="s">
        <v>526</v>
      </c>
      <c r="E756" s="1246"/>
      <c r="F756" s="1246"/>
      <c r="G756" s="353"/>
      <c r="H756" s="353"/>
      <c r="I756" s="336"/>
      <c r="J756" s="353"/>
      <c r="K756" s="353"/>
    </row>
    <row r="757" spans="1:11">
      <c r="A757" s="336"/>
      <c r="B757" s="336"/>
      <c r="C757" s="336"/>
      <c r="G757" s="353"/>
      <c r="H757" s="353"/>
      <c r="I757" s="336"/>
      <c r="J757" s="353"/>
      <c r="K757" s="353"/>
    </row>
    <row r="758" spans="1:11">
      <c r="A758" s="337"/>
      <c r="B758" s="338" t="s">
        <v>309</v>
      </c>
      <c r="D758" s="1240" t="s">
        <v>527</v>
      </c>
      <c r="E758" s="1240"/>
      <c r="F758" s="1240"/>
      <c r="G758" s="353"/>
      <c r="H758" s="353"/>
      <c r="I758" s="336"/>
      <c r="J758" s="353"/>
      <c r="K758" s="353"/>
    </row>
    <row r="759" spans="1:11" ht="10.5" customHeight="1">
      <c r="D759" s="1240"/>
      <c r="E759" s="1240"/>
      <c r="F759" s="1240"/>
      <c r="G759" s="353"/>
      <c r="H759" s="353"/>
      <c r="I759" s="336"/>
      <c r="J759" s="353"/>
      <c r="K759" s="353"/>
    </row>
    <row r="760" spans="1:11">
      <c r="D760" s="1240"/>
      <c r="E760" s="1240"/>
      <c r="F760" s="1240"/>
      <c r="G760" s="353"/>
      <c r="H760" s="353"/>
      <c r="I760" s="336"/>
      <c r="J760" s="353"/>
      <c r="K760" s="353"/>
    </row>
    <row r="761" spans="1:11">
      <c r="D761" s="1240"/>
      <c r="E761" s="1240"/>
      <c r="F761" s="1240"/>
      <c r="G761" s="353"/>
      <c r="H761" s="353"/>
      <c r="I761" s="336"/>
      <c r="J761" s="353"/>
      <c r="K761" s="353"/>
    </row>
    <row r="762" spans="1:11">
      <c r="D762" s="1240"/>
      <c r="E762" s="1240"/>
      <c r="F762" s="1240"/>
      <c r="G762" s="353"/>
      <c r="H762" s="353"/>
      <c r="I762" s="336"/>
      <c r="J762" s="353"/>
      <c r="K762" s="353"/>
    </row>
    <row r="763" spans="1:11" ht="15.65" customHeight="1">
      <c r="D763" s="1240"/>
      <c r="E763" s="1240"/>
      <c r="F763" s="1240"/>
      <c r="G763" s="353"/>
      <c r="H763" s="353"/>
      <c r="I763" s="336"/>
      <c r="J763" s="353"/>
      <c r="K763" s="353"/>
    </row>
    <row r="764" spans="1:11">
      <c r="D764" s="351"/>
      <c r="E764" s="1049"/>
      <c r="F764" s="1049"/>
      <c r="G764" s="353"/>
      <c r="H764" s="353"/>
      <c r="I764" s="336"/>
      <c r="J764" s="353"/>
      <c r="K764" s="353"/>
    </row>
    <row r="765" spans="1:11" s="357" customFormat="1">
      <c r="A765" s="355"/>
      <c r="B765" s="338" t="s">
        <v>309</v>
      </c>
      <c r="C765" s="356"/>
      <c r="D765" s="1240" t="s">
        <v>528</v>
      </c>
      <c r="E765" s="1240"/>
      <c r="F765" s="1240"/>
      <c r="I765" s="938"/>
    </row>
    <row r="766" spans="1:11" s="357" customFormat="1">
      <c r="A766" s="356"/>
      <c r="B766" s="356"/>
      <c r="C766" s="356"/>
      <c r="D766" s="1240"/>
      <c r="E766" s="1240"/>
      <c r="F766" s="1240"/>
      <c r="I766" s="938"/>
    </row>
    <row r="767" spans="1:11" s="357" customFormat="1">
      <c r="A767" s="356"/>
      <c r="B767" s="356"/>
      <c r="C767" s="356"/>
      <c r="D767" s="1240"/>
      <c r="E767" s="1240"/>
      <c r="F767" s="1240"/>
      <c r="I767" s="938"/>
    </row>
    <row r="768" spans="1:11" s="357" customFormat="1">
      <c r="A768" s="356"/>
      <c r="B768" s="356"/>
      <c r="C768" s="356"/>
      <c r="D768" s="1240"/>
      <c r="E768" s="1240"/>
      <c r="F768" s="1240"/>
      <c r="I768" s="938"/>
    </row>
    <row r="769" spans="1:11" s="357" customFormat="1">
      <c r="A769" s="356"/>
      <c r="B769" s="356"/>
      <c r="C769" s="356"/>
      <c r="D769" s="351"/>
      <c r="I769" s="938"/>
    </row>
    <row r="770" spans="1:11" s="357" customFormat="1">
      <c r="A770" s="337"/>
      <c r="B770" s="338" t="s">
        <v>314</v>
      </c>
      <c r="C770" s="356"/>
      <c r="D770" s="1265" t="s">
        <v>529</v>
      </c>
      <c r="E770" s="1265"/>
      <c r="F770" s="1265"/>
      <c r="I770" s="938"/>
    </row>
    <row r="771" spans="1:11" s="357" customFormat="1">
      <c r="A771" s="356"/>
      <c r="B771" s="356"/>
      <c r="C771" s="356"/>
      <c r="D771" s="1265"/>
      <c r="E771" s="1265"/>
      <c r="F771" s="1265"/>
      <c r="I771" s="938"/>
    </row>
    <row r="772" spans="1:11" s="357" customFormat="1">
      <c r="A772" s="356"/>
      <c r="B772" s="356"/>
      <c r="C772" s="356"/>
      <c r="D772" s="1265"/>
      <c r="E772" s="1265"/>
      <c r="F772" s="1265"/>
      <c r="I772" s="938"/>
    </row>
    <row r="773" spans="1:11">
      <c r="D773" s="351"/>
      <c r="E773" s="1049"/>
      <c r="F773" s="1049"/>
      <c r="G773" s="353"/>
      <c r="H773" s="353"/>
      <c r="I773" s="336"/>
      <c r="J773" s="353"/>
      <c r="K773" s="353"/>
    </row>
    <row r="774" spans="1:11">
      <c r="A774" s="337"/>
      <c r="B774" s="338" t="s">
        <v>314</v>
      </c>
      <c r="D774" s="1240" t="s">
        <v>530</v>
      </c>
      <c r="E774" s="1240"/>
      <c r="F774" s="1240"/>
      <c r="G774" s="353"/>
      <c r="H774" s="353"/>
      <c r="I774" s="336"/>
      <c r="J774" s="353"/>
      <c r="K774" s="353"/>
    </row>
    <row r="775" spans="1:11">
      <c r="D775" s="1240"/>
      <c r="E775" s="1240"/>
      <c r="F775" s="1240"/>
      <c r="G775" s="353"/>
      <c r="H775" s="353"/>
      <c r="I775" s="336"/>
      <c r="J775" s="353"/>
      <c r="K775" s="353"/>
    </row>
    <row r="776" spans="1:11">
      <c r="D776" s="1050"/>
      <c r="E776" s="1050"/>
      <c r="F776" s="1050"/>
      <c r="G776" s="353"/>
      <c r="H776" s="353"/>
      <c r="I776" s="336"/>
      <c r="J776" s="353"/>
      <c r="K776" s="353"/>
    </row>
    <row r="777" spans="1:11">
      <c r="B777" s="338" t="s">
        <v>314</v>
      </c>
      <c r="D777" s="1240" t="s">
        <v>531</v>
      </c>
      <c r="E777" s="1240"/>
      <c r="F777" s="1240"/>
      <c r="G777" s="353"/>
      <c r="H777" s="353"/>
      <c r="I777" s="336"/>
      <c r="J777" s="353"/>
      <c r="K777" s="353"/>
    </row>
    <row r="778" spans="1:11">
      <c r="D778" s="1240"/>
      <c r="E778" s="1240"/>
      <c r="F778" s="1240"/>
      <c r="G778" s="353"/>
      <c r="H778" s="353"/>
      <c r="I778" s="336"/>
      <c r="J778" s="353"/>
      <c r="K778" s="353"/>
    </row>
    <row r="779" spans="1:11">
      <c r="D779" s="1240"/>
      <c r="E779" s="1240"/>
      <c r="F779" s="1240"/>
      <c r="G779" s="353"/>
      <c r="H779" s="353"/>
      <c r="I779" s="336"/>
      <c r="J779" s="353"/>
      <c r="K779" s="353"/>
    </row>
    <row r="780" spans="1:11">
      <c r="D780" s="1050"/>
      <c r="E780" s="1050"/>
      <c r="F780" s="1050"/>
      <c r="G780" s="353"/>
      <c r="H780" s="353"/>
      <c r="I780" s="336"/>
      <c r="J780" s="353"/>
      <c r="K780" s="353"/>
    </row>
    <row r="781" spans="1:11">
      <c r="A781" s="1272" t="s">
        <v>532</v>
      </c>
      <c r="B781" s="1272"/>
      <c r="C781" s="1272"/>
      <c r="D781" s="1272"/>
      <c r="E781" s="1272"/>
      <c r="F781" s="1272"/>
      <c r="G781" s="1272"/>
      <c r="H781" s="811"/>
      <c r="I781" s="933"/>
    </row>
    <row r="782" spans="1:11">
      <c r="A782" s="38"/>
      <c r="B782" s="38"/>
      <c r="C782" s="1068"/>
      <c r="D782" s="2"/>
      <c r="E782" s="2"/>
      <c r="F782" s="2"/>
      <c r="G782" s="2"/>
      <c r="I782" s="1058"/>
    </row>
    <row r="783" spans="1:11">
      <c r="A783" s="38"/>
      <c r="B783" s="38"/>
      <c r="C783" s="1068"/>
      <c r="D783" s="1271" t="s">
        <v>533</v>
      </c>
      <c r="E783" s="1271"/>
      <c r="F783" s="1271"/>
      <c r="G783" s="2"/>
      <c r="I783" s="1058"/>
    </row>
    <row r="784" spans="1:11">
      <c r="A784" s="38"/>
      <c r="B784" s="38"/>
      <c r="C784" s="1068"/>
      <c r="D784" s="1252" t="s">
        <v>534</v>
      </c>
      <c r="E784" s="1252"/>
      <c r="F784" s="1252"/>
      <c r="G784" s="2"/>
      <c r="I784" s="1058"/>
    </row>
    <row r="785" spans="1:9">
      <c r="A785" s="38"/>
      <c r="B785" s="38"/>
      <c r="C785" s="1068"/>
      <c r="D785" s="1057"/>
      <c r="E785" s="1057"/>
      <c r="F785" s="1057"/>
      <c r="G785" s="2"/>
      <c r="I785" s="1058"/>
    </row>
    <row r="786" spans="1:9">
      <c r="A786" s="38"/>
      <c r="B786" s="338" t="s">
        <v>309</v>
      </c>
      <c r="C786" s="1068"/>
      <c r="D786" s="1273" t="s">
        <v>535</v>
      </c>
      <c r="E786" s="1273"/>
      <c r="F786" s="1273"/>
      <c r="G786" s="2"/>
      <c r="I786" s="336"/>
    </row>
    <row r="787" spans="1:9">
      <c r="A787" s="38"/>
      <c r="B787" s="38"/>
      <c r="C787" s="1068"/>
      <c r="D787" s="1273"/>
      <c r="E787" s="1273"/>
      <c r="F787" s="1273"/>
      <c r="G787" s="2"/>
      <c r="I787" s="1058"/>
    </row>
    <row r="788" spans="1:9">
      <c r="A788" s="99"/>
      <c r="B788" s="99"/>
      <c r="C788" s="99"/>
      <c r="D788" s="1273"/>
      <c r="E788" s="1273"/>
      <c r="F788" s="1273"/>
      <c r="G788" s="68"/>
      <c r="I788" s="1058"/>
    </row>
    <row r="789" spans="1:9">
      <c r="A789" s="1068"/>
      <c r="B789" s="1068"/>
      <c r="C789" s="1068"/>
      <c r="D789" s="1046"/>
      <c r="E789" s="2"/>
      <c r="F789" s="2"/>
      <c r="G789" s="2"/>
      <c r="I789" s="1058"/>
    </row>
    <row r="790" spans="1:9">
      <c r="A790" s="98"/>
      <c r="B790" s="338" t="s">
        <v>314</v>
      </c>
      <c r="C790" s="98"/>
      <c r="D790" s="1273" t="s">
        <v>536</v>
      </c>
      <c r="E790" s="1273"/>
      <c r="F790" s="1273"/>
      <c r="G790" s="2"/>
      <c r="I790" s="336"/>
    </row>
    <row r="791" spans="1:9">
      <c r="A791" s="98"/>
      <c r="B791" s="98"/>
      <c r="C791" s="98"/>
      <c r="D791" s="1273"/>
      <c r="E791" s="1273"/>
      <c r="F791" s="1273"/>
      <c r="G791" s="2"/>
      <c r="I791" s="1058"/>
    </row>
    <row r="792" spans="1:9">
      <c r="A792" s="98"/>
      <c r="B792" s="98"/>
      <c r="C792" s="98"/>
      <c r="D792" s="1273"/>
      <c r="E792" s="1273"/>
      <c r="F792" s="1273"/>
      <c r="G792" s="2"/>
      <c r="I792" s="1058"/>
    </row>
    <row r="793" spans="1:9">
      <c r="A793" s="99"/>
      <c r="B793" s="99"/>
      <c r="C793" s="99"/>
      <c r="D793" s="2"/>
      <c r="E793" s="780"/>
      <c r="F793" s="780"/>
      <c r="G793" s="780"/>
      <c r="I793" s="1058"/>
    </row>
    <row r="794" spans="1:9">
      <c r="A794" s="100"/>
      <c r="B794" s="338" t="s">
        <v>314</v>
      </c>
      <c r="C794" s="781"/>
      <c r="D794" s="1273" t="s">
        <v>537</v>
      </c>
      <c r="E794" s="1273"/>
      <c r="F794" s="1273"/>
      <c r="G794" s="780"/>
      <c r="I794" s="336"/>
    </row>
    <row r="795" spans="1:9">
      <c r="A795" s="100"/>
      <c r="B795" s="100"/>
      <c r="C795" s="781"/>
      <c r="D795" s="1273"/>
      <c r="E795" s="1273"/>
      <c r="F795" s="1273"/>
      <c r="G795" s="780"/>
      <c r="I795" s="1058"/>
    </row>
    <row r="796" spans="1:9">
      <c r="A796" s="100"/>
      <c r="B796" s="100"/>
      <c r="C796" s="781"/>
      <c r="D796" s="1273"/>
      <c r="E796" s="1273"/>
      <c r="F796" s="1273"/>
      <c r="G796" s="780"/>
      <c r="I796" s="1058"/>
    </row>
    <row r="797" spans="1:9">
      <c r="A797" s="100"/>
      <c r="B797" s="100"/>
      <c r="C797" s="781"/>
      <c r="D797" s="68"/>
      <c r="E797" s="2"/>
      <c r="F797" s="2"/>
      <c r="G797" s="780"/>
      <c r="I797" s="1058"/>
    </row>
    <row r="798" spans="1:9">
      <c r="A798" s="100"/>
      <c r="B798" s="338" t="s">
        <v>314</v>
      </c>
      <c r="C798" s="781"/>
      <c r="D798" s="1273" t="s">
        <v>538</v>
      </c>
      <c r="E798" s="1273"/>
      <c r="F798" s="1273"/>
      <c r="G798" s="780"/>
      <c r="I798" s="336"/>
    </row>
    <row r="799" spans="1:9">
      <c r="A799" s="100"/>
      <c r="B799" s="100"/>
      <c r="C799" s="781"/>
      <c r="D799" s="1273"/>
      <c r="E799" s="1273"/>
      <c r="F799" s="1273"/>
      <c r="G799" s="780"/>
      <c r="I799" s="1058"/>
    </row>
    <row r="800" spans="1:9">
      <c r="A800" s="100"/>
      <c r="B800" s="100"/>
      <c r="C800" s="781"/>
      <c r="D800" s="1273"/>
      <c r="E800" s="1273"/>
      <c r="F800" s="1273"/>
      <c r="G800" s="780"/>
      <c r="I800" s="1058"/>
    </row>
    <row r="801" spans="1:9">
      <c r="A801" s="100"/>
      <c r="B801" s="100"/>
      <c r="C801" s="781"/>
      <c r="D801" s="1273"/>
      <c r="E801" s="1273"/>
      <c r="F801" s="1273"/>
      <c r="G801" s="780"/>
      <c r="I801" s="1058"/>
    </row>
    <row r="802" spans="1:9">
      <c r="A802" s="100"/>
      <c r="B802" s="100"/>
      <c r="C802" s="781"/>
      <c r="D802" s="1273"/>
      <c r="E802" s="1273"/>
      <c r="F802" s="1273"/>
      <c r="G802" s="780"/>
      <c r="I802" s="1058"/>
    </row>
    <row r="803" spans="1:9">
      <c r="A803" s="100"/>
      <c r="B803" s="100"/>
      <c r="C803" s="781"/>
      <c r="D803" s="1273"/>
      <c r="E803" s="1273"/>
      <c r="F803" s="1273"/>
      <c r="G803" s="780"/>
      <c r="I803" s="1058"/>
    </row>
    <row r="804" spans="1:9">
      <c r="A804" s="100"/>
      <c r="B804" s="100"/>
      <c r="C804" s="781"/>
      <c r="D804" s="1273" t="s">
        <v>539</v>
      </c>
      <c r="E804" s="1273"/>
      <c r="F804" s="1273"/>
      <c r="G804" s="780"/>
      <c r="I804" s="1058"/>
    </row>
    <row r="805" spans="1:9">
      <c r="A805" s="100"/>
      <c r="B805" s="100"/>
      <c r="C805" s="781"/>
      <c r="D805" s="1273"/>
      <c r="E805" s="1273"/>
      <c r="F805" s="1273"/>
      <c r="G805" s="780"/>
      <c r="I805" s="1058"/>
    </row>
    <row r="806" spans="1:9">
      <c r="A806" s="100"/>
      <c r="B806" s="100"/>
      <c r="C806" s="781"/>
      <c r="D806" s="1273"/>
      <c r="E806" s="1273"/>
      <c r="F806" s="1273"/>
      <c r="G806" s="780"/>
      <c r="I806" s="1058"/>
    </row>
    <row r="807" spans="1:9">
      <c r="A807" s="100"/>
      <c r="B807" s="1068"/>
      <c r="C807" s="781"/>
      <c r="D807" s="782"/>
      <c r="E807" s="782"/>
      <c r="F807" s="782"/>
      <c r="G807" s="780"/>
      <c r="I807" s="1058"/>
    </row>
    <row r="808" spans="1:9">
      <c r="A808" s="100"/>
      <c r="B808" s="338" t="s">
        <v>314</v>
      </c>
      <c r="C808" s="781"/>
      <c r="D808" s="1273" t="s">
        <v>540</v>
      </c>
      <c r="E808" s="1273"/>
      <c r="F808" s="1273"/>
      <c r="G808" s="780"/>
      <c r="I808" s="336"/>
    </row>
    <row r="809" spans="1:9">
      <c r="A809" s="100"/>
      <c r="B809" s="100"/>
      <c r="C809" s="781"/>
      <c r="D809" s="1273"/>
      <c r="E809" s="1273"/>
      <c r="F809" s="1273"/>
      <c r="G809" s="780"/>
      <c r="I809" s="1058"/>
    </row>
    <row r="810" spans="1:9">
      <c r="A810" s="100"/>
      <c r="B810" s="100"/>
      <c r="C810" s="781"/>
      <c r="D810" s="1273"/>
      <c r="E810" s="1273"/>
      <c r="F810" s="1273"/>
      <c r="G810" s="780"/>
      <c r="I810" s="1058"/>
    </row>
    <row r="811" spans="1:9">
      <c r="A811" s="100"/>
      <c r="B811" s="100"/>
      <c r="C811" s="781"/>
      <c r="D811" s="1273"/>
      <c r="E811" s="1273"/>
      <c r="F811" s="1273"/>
      <c r="G811" s="780"/>
      <c r="I811" s="1058"/>
    </row>
    <row r="812" spans="1:9">
      <c r="A812" s="100"/>
      <c r="B812" s="100"/>
      <c r="C812" s="781"/>
      <c r="D812" s="1273"/>
      <c r="E812" s="1273"/>
      <c r="F812" s="1273"/>
      <c r="G812" s="780"/>
      <c r="I812" s="1058"/>
    </row>
    <row r="813" spans="1:9">
      <c r="A813" s="100"/>
      <c r="B813" s="100"/>
      <c r="C813" s="781"/>
      <c r="D813" s="1273"/>
      <c r="E813" s="1273"/>
      <c r="F813" s="1273"/>
      <c r="G813" s="780"/>
      <c r="I813" s="1058"/>
    </row>
    <row r="814" spans="1:9">
      <c r="A814" s="100"/>
      <c r="B814" s="100"/>
      <c r="C814" s="781"/>
      <c r="D814" s="1045"/>
      <c r="E814" s="1045"/>
      <c r="F814" s="1045"/>
      <c r="G814" s="780"/>
      <c r="I814" s="1058"/>
    </row>
    <row r="815" spans="1:9">
      <c r="A815" s="100"/>
      <c r="B815" s="338" t="s">
        <v>314</v>
      </c>
      <c r="C815" s="781"/>
      <c r="D815" s="1273" t="s">
        <v>541</v>
      </c>
      <c r="E815" s="1273"/>
      <c r="F815" s="1273"/>
      <c r="G815" s="780"/>
      <c r="I815" s="336"/>
    </row>
    <row r="816" spans="1:9">
      <c r="A816" s="100"/>
      <c r="B816" s="100"/>
      <c r="C816" s="781"/>
      <c r="D816" s="1273"/>
      <c r="E816" s="1273"/>
      <c r="F816" s="1273"/>
      <c r="G816" s="780"/>
      <c r="I816" s="1058"/>
    </row>
    <row r="817" spans="1:9">
      <c r="A817" s="100"/>
      <c r="B817" s="100"/>
      <c r="C817" s="781"/>
      <c r="D817" s="1273"/>
      <c r="E817" s="1273"/>
      <c r="F817" s="1273"/>
      <c r="G817" s="780"/>
      <c r="I817" s="1058"/>
    </row>
    <row r="818" spans="1:9">
      <c r="A818" s="100"/>
      <c r="B818" s="100"/>
      <c r="C818" s="781"/>
      <c r="D818" s="1273"/>
      <c r="E818" s="1273"/>
      <c r="F818" s="1273"/>
      <c r="G818" s="780"/>
      <c r="I818" s="1058"/>
    </row>
    <row r="819" spans="1:9">
      <c r="A819" s="100"/>
      <c r="B819" s="100"/>
      <c r="C819" s="781"/>
      <c r="D819" s="1273"/>
      <c r="E819" s="1273"/>
      <c r="F819" s="1273"/>
      <c r="G819" s="780"/>
      <c r="I819" s="1058"/>
    </row>
    <row r="820" spans="1:9">
      <c r="A820" s="100"/>
      <c r="B820" s="100"/>
      <c r="C820" s="781"/>
      <c r="D820" s="1273"/>
      <c r="E820" s="1273"/>
      <c r="F820" s="1273"/>
      <c r="G820" s="780"/>
      <c r="I820" s="1058"/>
    </row>
    <row r="821" spans="1:9">
      <c r="A821" s="100"/>
      <c r="B821" s="100"/>
      <c r="C821" s="781"/>
      <c r="D821" s="1045"/>
      <c r="E821" s="1045"/>
      <c r="F821" s="1045"/>
      <c r="G821" s="780"/>
      <c r="I821" s="1058"/>
    </row>
    <row r="822" spans="1:9">
      <c r="A822" s="100"/>
      <c r="B822" s="338" t="s">
        <v>314</v>
      </c>
      <c r="C822" s="781"/>
      <c r="D822" s="1245" t="s">
        <v>542</v>
      </c>
      <c r="E822" s="1245"/>
      <c r="F822" s="1245"/>
      <c r="G822" s="780"/>
      <c r="I822" s="336"/>
    </row>
    <row r="823" spans="1:9">
      <c r="A823" s="100"/>
      <c r="B823" s="100"/>
      <c r="C823" s="781"/>
      <c r="D823" s="1245"/>
      <c r="E823" s="1245"/>
      <c r="F823" s="1245"/>
      <c r="G823" s="780"/>
      <c r="I823" s="1058"/>
    </row>
    <row r="824" spans="1:9">
      <c r="A824" s="1066"/>
      <c r="B824" s="1066"/>
      <c r="C824" s="781"/>
      <c r="D824" s="1245"/>
      <c r="E824" s="1245"/>
      <c r="F824" s="1245"/>
      <c r="G824" s="780"/>
      <c r="I824" s="1058"/>
    </row>
    <row r="825" spans="1:9">
      <c r="A825" s="100"/>
      <c r="B825" s="1066"/>
      <c r="C825" s="781"/>
      <c r="D825" s="1245"/>
      <c r="E825" s="1245"/>
      <c r="F825" s="1245"/>
      <c r="G825" s="780"/>
      <c r="I825" s="1058"/>
    </row>
    <row r="826" spans="1:9" ht="12.75" customHeight="1">
      <c r="A826" s="100"/>
      <c r="B826" s="1066"/>
      <c r="C826" s="781"/>
      <c r="D826" s="1245"/>
      <c r="E826" s="1245"/>
      <c r="F826" s="1245"/>
      <c r="G826" s="780"/>
      <c r="I826" s="1058"/>
    </row>
    <row r="827" spans="1:9" ht="12.75" customHeight="1">
      <c r="A827" s="100"/>
      <c r="B827" s="1066"/>
      <c r="C827" s="781"/>
      <c r="D827" s="1245"/>
      <c r="E827" s="1245"/>
      <c r="F827" s="1245"/>
      <c r="G827" s="780"/>
      <c r="I827" s="1058"/>
    </row>
    <row r="828" spans="1:9" ht="12.75" customHeight="1">
      <c r="A828" s="1066"/>
      <c r="B828" s="1066"/>
      <c r="C828" s="781"/>
      <c r="D828" s="780"/>
      <c r="E828" s="2"/>
      <c r="F828" s="2"/>
      <c r="G828" s="780"/>
      <c r="I828" s="1058"/>
    </row>
    <row r="829" spans="1:9" ht="12.75" customHeight="1">
      <c r="A829" s="1266" t="s">
        <v>543</v>
      </c>
      <c r="B829" s="1266"/>
      <c r="C829" s="1266"/>
      <c r="D829" s="1266"/>
      <c r="E829" s="1266"/>
      <c r="F829" s="1266"/>
      <c r="G829" s="1266"/>
      <c r="H829" s="811"/>
      <c r="I829" s="933"/>
    </row>
    <row r="830" spans="1:9" ht="12.75" customHeight="1">
      <c r="A830" s="98"/>
      <c r="B830" s="98"/>
      <c r="C830" s="781"/>
      <c r="D830" s="780"/>
      <c r="E830" s="780"/>
      <c r="F830" s="780"/>
      <c r="G830" s="780"/>
      <c r="I830" s="1058"/>
    </row>
    <row r="831" spans="1:9" ht="12.75" customHeight="1">
      <c r="A831" s="100"/>
      <c r="B831" s="100"/>
      <c r="C831" s="1068"/>
      <c r="D831" s="1270" t="s">
        <v>544</v>
      </c>
      <c r="E831" s="1270"/>
      <c r="F831" s="1270"/>
      <c r="G831" s="2"/>
      <c r="I831" s="1058"/>
    </row>
    <row r="832" spans="1:9" ht="14.25" customHeight="1">
      <c r="A832" s="100"/>
      <c r="B832" s="100"/>
      <c r="C832" s="1068"/>
      <c r="D832" s="1217" t="s">
        <v>545</v>
      </c>
      <c r="E832" s="1217"/>
      <c r="F832" s="1217"/>
      <c r="G832" s="2"/>
      <c r="I832" s="1058"/>
    </row>
    <row r="833" spans="1:9" ht="12.75" customHeight="1">
      <c r="A833" s="100"/>
      <c r="B833" s="100"/>
      <c r="C833" s="1068"/>
      <c r="D833" s="1031"/>
      <c r="E833" s="1031"/>
      <c r="F833" s="1031"/>
      <c r="G833" s="2"/>
      <c r="I833" s="1058"/>
    </row>
    <row r="834" spans="1:9" ht="12.75" customHeight="1">
      <c r="A834" s="1068"/>
      <c r="B834" s="338" t="s">
        <v>309</v>
      </c>
      <c r="C834" s="781"/>
      <c r="D834" s="1217" t="s">
        <v>546</v>
      </c>
      <c r="E834" s="1217"/>
      <c r="F834" s="1217"/>
      <c r="G834" s="2"/>
      <c r="I834" s="1058" t="s">
        <v>547</v>
      </c>
    </row>
    <row r="835" spans="1:9" ht="14.25" customHeight="1">
      <c r="A835" s="1066"/>
      <c r="B835" s="1066"/>
      <c r="C835" s="781"/>
      <c r="E835" s="819" t="s">
        <v>375</v>
      </c>
      <c r="F835" s="1047"/>
      <c r="G835" s="2"/>
      <c r="I835" s="1058"/>
    </row>
    <row r="836" spans="1:9" ht="12.75" customHeight="1">
      <c r="A836" s="1066"/>
      <c r="B836" s="1066"/>
      <c r="C836" s="781"/>
      <c r="D836" s="783"/>
      <c r="E836" s="2"/>
      <c r="F836" s="2"/>
      <c r="G836" s="2"/>
      <c r="I836" s="1058"/>
    </row>
    <row r="837" spans="1:9" ht="14.25" hidden="1" customHeight="1">
      <c r="A837" s="1066"/>
      <c r="B837" s="338" t="s">
        <v>478</v>
      </c>
      <c r="C837" s="781"/>
      <c r="D837" s="1275" t="s">
        <v>548</v>
      </c>
      <c r="E837" s="1275"/>
      <c r="F837" s="1275"/>
      <c r="G837" s="2"/>
      <c r="I837" s="1058"/>
    </row>
    <row r="838" spans="1:9" ht="12.75" hidden="1" customHeight="1">
      <c r="A838" s="1066"/>
      <c r="B838" s="1066"/>
      <c r="C838" s="781"/>
      <c r="D838" s="1275"/>
      <c r="E838" s="1275"/>
      <c r="F838" s="1275"/>
      <c r="G838" s="2"/>
      <c r="I838" s="1058"/>
    </row>
    <row r="839" spans="1:9" ht="12.75" hidden="1" customHeight="1">
      <c r="A839" s="1066"/>
      <c r="B839" s="1066"/>
      <c r="C839" s="781"/>
      <c r="D839" s="1275"/>
      <c r="E839" s="1275"/>
      <c r="F839" s="1275"/>
      <c r="G839" s="2"/>
      <c r="I839" s="1058"/>
    </row>
    <row r="840" spans="1:9" ht="12.75" hidden="1" customHeight="1">
      <c r="A840" s="1066"/>
      <c r="B840" s="1066"/>
      <c r="C840" s="781"/>
      <c r="D840" s="1275"/>
      <c r="E840" s="1275"/>
      <c r="F840" s="1275"/>
      <c r="G840" s="2"/>
      <c r="I840" s="1058"/>
    </row>
    <row r="841" spans="1:9" ht="12.75" hidden="1" customHeight="1">
      <c r="A841" s="1066"/>
      <c r="B841" s="1066"/>
      <c r="C841" s="781"/>
      <c r="D841" s="1275"/>
      <c r="E841" s="1275"/>
      <c r="F841" s="1275"/>
      <c r="G841" s="2"/>
      <c r="I841" s="1058"/>
    </row>
    <row r="842" spans="1:9" ht="12.75" hidden="1" customHeight="1">
      <c r="A842" s="1066"/>
      <c r="B842" s="1066"/>
      <c r="C842" s="781"/>
      <c r="D842" s="1275"/>
      <c r="E842" s="1275"/>
      <c r="F842" s="1275"/>
      <c r="G842" s="2"/>
      <c r="I842" s="1058"/>
    </row>
    <row r="843" spans="1:9" ht="12.75" hidden="1" customHeight="1">
      <c r="A843" s="1066"/>
      <c r="B843" s="1066"/>
      <c r="C843" s="781"/>
      <c r="D843" s="1275"/>
      <c r="E843" s="1275"/>
      <c r="F843" s="1275"/>
      <c r="G843" s="2"/>
      <c r="I843" s="1058"/>
    </row>
    <row r="844" spans="1:9" ht="12.75" hidden="1" customHeight="1">
      <c r="A844" s="1066"/>
      <c r="B844" s="1066"/>
      <c r="C844" s="781"/>
      <c r="D844" s="1275"/>
      <c r="E844" s="1275"/>
      <c r="F844" s="1275"/>
      <c r="G844" s="2"/>
      <c r="I844" s="1058"/>
    </row>
    <row r="845" spans="1:9" ht="12.75" hidden="1" customHeight="1">
      <c r="A845" s="1066"/>
      <c r="B845" s="1066"/>
      <c r="C845" s="781"/>
      <c r="D845" s="1275"/>
      <c r="E845" s="1275"/>
      <c r="F845" s="1275"/>
      <c r="G845" s="2"/>
      <c r="I845" s="1058"/>
    </row>
    <row r="846" spans="1:9" ht="12.75" hidden="1" customHeight="1">
      <c r="A846" s="1066"/>
      <c r="B846" s="1066"/>
      <c r="C846" s="781"/>
      <c r="D846" s="1275"/>
      <c r="E846" s="1275"/>
      <c r="F846" s="1275"/>
      <c r="G846" s="2"/>
      <c r="I846" s="1058"/>
    </row>
    <row r="847" spans="1:9" ht="12.75" hidden="1" customHeight="1">
      <c r="A847" s="1066"/>
      <c r="B847" s="1066"/>
      <c r="C847" s="781"/>
      <c r="D847" s="783"/>
      <c r="E847" s="2"/>
      <c r="F847" s="2"/>
      <c r="G847" s="2"/>
      <c r="I847" s="1058"/>
    </row>
    <row r="848" spans="1:9" ht="12.75" customHeight="1">
      <c r="A848" s="100"/>
      <c r="B848" s="338" t="s">
        <v>309</v>
      </c>
      <c r="C848" s="781"/>
      <c r="D848" s="1217" t="s">
        <v>549</v>
      </c>
      <c r="E848" s="1217"/>
      <c r="F848" s="1217"/>
      <c r="G848" s="2"/>
      <c r="I848" s="1058" t="s">
        <v>550</v>
      </c>
    </row>
    <row r="849" spans="1:9" ht="12.75" customHeight="1">
      <c r="A849" s="100"/>
      <c r="B849" s="100"/>
      <c r="C849" s="781"/>
      <c r="D849" s="1217"/>
      <c r="E849" s="1217"/>
      <c r="F849" s="1217"/>
      <c r="G849" s="2"/>
      <c r="I849" s="1058"/>
    </row>
    <row r="850" spans="1:9" ht="12.75" customHeight="1">
      <c r="A850" s="100"/>
      <c r="B850" s="100"/>
      <c r="C850" s="781"/>
      <c r="D850" s="1217"/>
      <c r="E850" s="1217"/>
      <c r="F850" s="1217"/>
      <c r="G850" s="2"/>
      <c r="I850" s="1058"/>
    </row>
    <row r="851" spans="1:9" ht="12.75" customHeight="1">
      <c r="A851" s="100"/>
      <c r="B851" s="100"/>
      <c r="C851" s="781"/>
      <c r="D851" s="68"/>
      <c r="E851" s="2"/>
      <c r="F851" s="2"/>
      <c r="G851" s="2"/>
      <c r="I851" s="1058"/>
    </row>
    <row r="852" spans="1:9" ht="12.75" customHeight="1">
      <c r="A852" s="784"/>
      <c r="B852" s="338" t="s">
        <v>314</v>
      </c>
      <c r="C852" s="781"/>
      <c r="D852" s="1270" t="s">
        <v>551</v>
      </c>
      <c r="E852" s="1270"/>
      <c r="F852" s="1270"/>
      <c r="G852" s="2"/>
      <c r="I852" s="1058"/>
    </row>
    <row r="853" spans="1:9" ht="12.75" customHeight="1">
      <c r="A853" s="1068"/>
      <c r="B853" s="784"/>
      <c r="C853" s="781"/>
      <c r="D853" s="1270"/>
      <c r="E853" s="1270"/>
      <c r="F853" s="1270"/>
      <c r="G853" s="2"/>
      <c r="I853" s="1058"/>
    </row>
    <row r="854" spans="1:9" ht="12.75" customHeight="1">
      <c r="A854" s="100"/>
      <c r="B854" s="1068"/>
      <c r="C854" s="781"/>
      <c r="D854" s="1217" t="s">
        <v>552</v>
      </c>
      <c r="E854" s="1217"/>
      <c r="F854" s="1217"/>
      <c r="G854" s="2"/>
      <c r="I854" s="1058"/>
    </row>
    <row r="855" spans="1:9" ht="12.75" customHeight="1">
      <c r="A855" s="100"/>
      <c r="B855" s="100"/>
      <c r="C855" s="781"/>
      <c r="D855" s="1217"/>
      <c r="E855" s="1217"/>
      <c r="F855" s="1217"/>
      <c r="G855" s="2"/>
      <c r="I855" s="1058"/>
    </row>
    <row r="856" spans="1:9" ht="12.75" customHeight="1">
      <c r="A856" s="100"/>
      <c r="B856" s="100"/>
      <c r="C856" s="781"/>
      <c r="D856" s="1217"/>
      <c r="E856" s="1217"/>
      <c r="F856" s="1217"/>
      <c r="G856" s="2"/>
      <c r="I856" s="1058"/>
    </row>
    <row r="857" spans="1:9" ht="12.75" customHeight="1">
      <c r="A857" s="100"/>
      <c r="B857" s="100"/>
      <c r="C857" s="781"/>
      <c r="D857" s="1217"/>
      <c r="E857" s="1217"/>
      <c r="F857" s="1217"/>
      <c r="G857" s="2"/>
      <c r="I857" s="1058"/>
    </row>
    <row r="858" spans="1:9" ht="12.75" customHeight="1">
      <c r="A858" s="100"/>
      <c r="B858" s="100"/>
      <c r="C858" s="781"/>
      <c r="D858" s="1217"/>
      <c r="E858" s="1217"/>
      <c r="F858" s="1217"/>
      <c r="G858" s="2"/>
      <c r="I858" s="1058"/>
    </row>
    <row r="859" spans="1:9" ht="12.75" customHeight="1">
      <c r="A859" s="100"/>
      <c r="B859" s="100"/>
      <c r="C859" s="781"/>
      <c r="D859" s="1217"/>
      <c r="E859" s="1217"/>
      <c r="F859" s="1217"/>
      <c r="G859" s="2"/>
      <c r="I859" s="1058"/>
    </row>
    <row r="860" spans="1:9" ht="12.75" customHeight="1">
      <c r="A860" s="100"/>
      <c r="B860" s="100"/>
      <c r="C860" s="781"/>
      <c r="D860" s="68"/>
      <c r="E860" s="2"/>
      <c r="F860" s="2"/>
      <c r="G860" s="2"/>
      <c r="I860" s="1058"/>
    </row>
    <row r="861" spans="1:9" ht="12.75" customHeight="1">
      <c r="A861" s="100"/>
      <c r="B861" s="338" t="s">
        <v>314</v>
      </c>
      <c r="C861" s="781"/>
      <c r="D861" s="1217" t="s">
        <v>553</v>
      </c>
      <c r="E861" s="1217"/>
      <c r="F861" s="1217"/>
      <c r="G861" s="2"/>
      <c r="I861" s="1058" t="s">
        <v>554</v>
      </c>
    </row>
    <row r="862" spans="1:9" ht="12.75" customHeight="1">
      <c r="A862" s="100"/>
      <c r="B862" s="100"/>
      <c r="C862" s="781"/>
      <c r="D862" s="1217" t="s">
        <v>555</v>
      </c>
      <c r="E862" s="1217"/>
      <c r="F862" s="1217"/>
      <c r="G862" s="2"/>
      <c r="I862" s="1058"/>
    </row>
    <row r="863" spans="1:9" ht="12.75" customHeight="1">
      <c r="A863" s="100"/>
      <c r="B863" s="100"/>
      <c r="C863" s="781"/>
      <c r="E863" s="819" t="s">
        <v>384</v>
      </c>
      <c r="F863" s="1047"/>
      <c r="G863" s="2"/>
      <c r="I863" s="1058"/>
    </row>
    <row r="864" spans="1:9" ht="12.75" customHeight="1">
      <c r="A864" s="100"/>
      <c r="B864" s="100"/>
      <c r="C864" s="781"/>
      <c r="D864" s="68"/>
      <c r="E864" s="2"/>
      <c r="F864" s="2"/>
      <c r="G864" s="2"/>
      <c r="I864" s="1058"/>
    </row>
    <row r="865" spans="1:9" ht="12.75" customHeight="1">
      <c r="A865" s="100"/>
      <c r="B865" s="338" t="s">
        <v>314</v>
      </c>
      <c r="C865" s="781"/>
      <c r="D865" s="1217" t="s">
        <v>556</v>
      </c>
      <c r="E865" s="1217"/>
      <c r="F865" s="1217"/>
      <c r="G865" s="2"/>
      <c r="I865" s="1058" t="s">
        <v>557</v>
      </c>
    </row>
    <row r="866" spans="1:9" ht="12.75" customHeight="1">
      <c r="A866" s="100"/>
      <c r="B866" s="100"/>
      <c r="C866" s="781"/>
      <c r="D866" s="1217"/>
      <c r="E866" s="1217"/>
      <c r="F866" s="1217"/>
      <c r="G866" s="2"/>
      <c r="I866" s="1058"/>
    </row>
    <row r="867" spans="1:9" ht="12.75" customHeight="1">
      <c r="A867" s="100"/>
      <c r="B867" s="100"/>
      <c r="C867" s="781"/>
      <c r="D867" s="1217"/>
      <c r="E867" s="1217"/>
      <c r="F867" s="1217"/>
      <c r="G867" s="2"/>
      <c r="I867" s="1058"/>
    </row>
    <row r="868" spans="1:9" ht="12.75" customHeight="1">
      <c r="A868" s="100"/>
      <c r="B868" s="100"/>
      <c r="C868" s="781"/>
      <c r="D868" s="1217"/>
      <c r="E868" s="1217"/>
      <c r="F868" s="1217"/>
      <c r="G868" s="2"/>
      <c r="I868" s="1058"/>
    </row>
    <row r="869" spans="1:9" ht="12.75" customHeight="1">
      <c r="A869" s="98"/>
      <c r="B869" s="98"/>
      <c r="C869" s="98"/>
      <c r="D869" s="68"/>
      <c r="E869" s="2"/>
      <c r="F869" s="2"/>
      <c r="G869" s="2"/>
      <c r="I869" s="1058"/>
    </row>
    <row r="870" spans="1:9" ht="12.75" customHeight="1">
      <c r="A870" s="1042" t="s">
        <v>558</v>
      </c>
      <c r="B870" s="1042"/>
      <c r="C870" s="1097"/>
      <c r="D870" s="1097"/>
      <c r="E870" s="1097"/>
      <c r="F870" s="1097"/>
      <c r="G870" s="1097"/>
      <c r="H870" s="811"/>
      <c r="I870" s="933"/>
    </row>
    <row r="871" spans="1:9" ht="12.75" customHeight="1">
      <c r="A871" s="98"/>
      <c r="B871" s="98"/>
      <c r="C871" s="98"/>
      <c r="D871" s="785"/>
      <c r="E871" s="2"/>
      <c r="F871" s="2"/>
      <c r="G871" s="2"/>
      <c r="I871" s="1058"/>
    </row>
    <row r="872" spans="1:9" ht="12.75" customHeight="1">
      <c r="A872" s="1068"/>
      <c r="B872" s="1068"/>
      <c r="C872" s="99"/>
      <c r="D872" s="1279" t="s">
        <v>559</v>
      </c>
      <c r="E872" s="1279"/>
      <c r="F872" s="1279"/>
      <c r="G872" s="780"/>
      <c r="I872" s="1058"/>
    </row>
    <row r="873" spans="1:9" ht="12.75" customHeight="1">
      <c r="A873" s="1068"/>
      <c r="B873" s="1068"/>
      <c r="C873" s="99"/>
      <c r="D873" s="1274" t="s">
        <v>560</v>
      </c>
      <c r="E873" s="1274"/>
      <c r="F873" s="1274"/>
      <c r="G873" s="780"/>
      <c r="I873" s="1058"/>
    </row>
    <row r="874" spans="1:9" ht="12.75" customHeight="1">
      <c r="A874" s="1068"/>
      <c r="B874" s="1068"/>
      <c r="C874" s="99"/>
      <c r="D874" s="1053"/>
      <c r="E874" s="1053"/>
      <c r="F874" s="1053"/>
      <c r="G874" s="780"/>
      <c r="I874" s="1058"/>
    </row>
    <row r="875" spans="1:9" ht="12.75" customHeight="1">
      <c r="A875" s="100"/>
      <c r="B875" s="338" t="s">
        <v>309</v>
      </c>
      <c r="C875" s="1068"/>
      <c r="D875" s="1257" t="s">
        <v>561</v>
      </c>
      <c r="E875" s="1257"/>
      <c r="F875" s="1257"/>
      <c r="G875" s="780"/>
      <c r="I875" s="1058" t="s">
        <v>554</v>
      </c>
    </row>
    <row r="876" spans="1:9" ht="12.75" customHeight="1">
      <c r="A876" s="1068"/>
      <c r="B876" s="1068"/>
      <c r="C876" s="1068"/>
      <c r="D876" s="1" t="s">
        <v>355</v>
      </c>
      <c r="E876" s="819" t="s">
        <v>384</v>
      </c>
      <c r="F876" s="821"/>
      <c r="G876" s="780"/>
      <c r="I876" s="1058"/>
    </row>
    <row r="877" spans="1:9" ht="12.75" customHeight="1">
      <c r="A877" s="1068"/>
      <c r="B877" s="1068"/>
      <c r="C877" s="1068"/>
      <c r="D877" s="68"/>
      <c r="E877" s="780"/>
      <c r="F877" s="780"/>
      <c r="G877" s="780"/>
      <c r="I877" s="1058"/>
    </row>
    <row r="878" spans="1:9" ht="12.75" customHeight="1">
      <c r="A878" s="100"/>
      <c r="B878" s="338" t="s">
        <v>309</v>
      </c>
      <c r="C878" s="1068"/>
      <c r="D878" s="1217" t="s">
        <v>562</v>
      </c>
      <c r="E878" s="1267"/>
      <c r="F878" s="1267"/>
      <c r="G878" s="2"/>
      <c r="I878" s="1058" t="s">
        <v>557</v>
      </c>
    </row>
    <row r="879" spans="1:9" ht="12.75" customHeight="1">
      <c r="A879" s="1068"/>
      <c r="B879" s="1068"/>
      <c r="C879" s="1068"/>
      <c r="D879" s="1267"/>
      <c r="E879" s="1267"/>
      <c r="F879" s="1267"/>
      <c r="G879" s="2"/>
      <c r="I879" s="1058"/>
    </row>
    <row r="880" spans="1:9" ht="12.75" customHeight="1">
      <c r="A880" s="1068"/>
      <c r="B880" s="1068"/>
      <c r="C880" s="1068"/>
      <c r="D880" s="68"/>
      <c r="E880" s="2"/>
      <c r="F880" s="2"/>
      <c r="G880" s="2"/>
      <c r="I880" s="1058"/>
    </row>
    <row r="881" spans="1:9" ht="12.75" customHeight="1">
      <c r="A881" s="1068"/>
      <c r="B881" s="338" t="s">
        <v>314</v>
      </c>
      <c r="C881" s="1068"/>
      <c r="D881" s="1268" t="s">
        <v>563</v>
      </c>
      <c r="E881" s="1268"/>
      <c r="F881" s="1268"/>
      <c r="G881" s="780"/>
      <c r="I881" s="1058"/>
    </row>
    <row r="882" spans="1:9" ht="12.75" customHeight="1">
      <c r="A882" s="1068"/>
      <c r="B882" s="786"/>
      <c r="C882" s="1068"/>
      <c r="D882" s="1268"/>
      <c r="E882" s="1268"/>
      <c r="F882" s="1268"/>
      <c r="G882" s="780"/>
      <c r="I882" s="1058"/>
    </row>
    <row r="883" spans="1:9" ht="12.75" customHeight="1">
      <c r="A883" s="100"/>
      <c r="B883"/>
      <c r="C883" s="1068"/>
      <c r="D883" s="1217" t="s">
        <v>552</v>
      </c>
      <c r="E883" s="1217"/>
      <c r="F883" s="1217"/>
      <c r="G883" s="780"/>
      <c r="I883" s="1058"/>
    </row>
    <row r="884" spans="1:9" ht="12.75" customHeight="1">
      <c r="A884" s="100"/>
      <c r="B884" s="100"/>
      <c r="C884" s="1068"/>
      <c r="D884" s="1217"/>
      <c r="E884" s="1217"/>
      <c r="F884" s="1217"/>
      <c r="G884" s="780"/>
      <c r="I884" s="1058"/>
    </row>
    <row r="885" spans="1:9" ht="12.75" customHeight="1">
      <c r="A885" s="100"/>
      <c r="B885" s="100"/>
      <c r="C885" s="1068"/>
      <c r="D885" s="1217"/>
      <c r="E885" s="1217"/>
      <c r="F885" s="1217"/>
      <c r="G885" s="780"/>
      <c r="I885" s="1058"/>
    </row>
    <row r="886" spans="1:9" ht="12.75" customHeight="1">
      <c r="A886" s="100"/>
      <c r="B886" s="100"/>
      <c r="C886" s="1068"/>
      <c r="D886" s="1217"/>
      <c r="E886" s="1217"/>
      <c r="F886" s="1217"/>
      <c r="G886" s="780"/>
      <c r="I886" s="1058"/>
    </row>
    <row r="887" spans="1:9" ht="12.75" customHeight="1">
      <c r="A887" s="100"/>
      <c r="B887" s="100"/>
      <c r="C887" s="1068"/>
      <c r="D887" s="1217"/>
      <c r="E887" s="1217"/>
      <c r="F887" s="1217"/>
      <c r="G887" s="780"/>
      <c r="I887" s="1058"/>
    </row>
    <row r="888" spans="1:9" ht="12.75" customHeight="1">
      <c r="A888" s="100"/>
      <c r="B888" s="100"/>
      <c r="C888" s="1068"/>
      <c r="D888" s="1217"/>
      <c r="E888" s="1217"/>
      <c r="F888" s="1217"/>
      <c r="G888" s="780"/>
      <c r="I888" s="1058"/>
    </row>
    <row r="889" spans="1:9" ht="12.75" customHeight="1">
      <c r="A889" s="100"/>
      <c r="B889" s="100"/>
      <c r="C889" s="1068"/>
      <c r="D889" s="68"/>
      <c r="E889" s="780"/>
      <c r="F889" s="780"/>
      <c r="G889" s="780"/>
      <c r="I889" s="1058"/>
    </row>
    <row r="890" spans="1:9" ht="12.75" customHeight="1">
      <c r="A890" s="100"/>
      <c r="B890" s="338" t="s">
        <v>314</v>
      </c>
      <c r="C890" s="1068"/>
      <c r="D890" s="1258" t="s">
        <v>553</v>
      </c>
      <c r="E890" s="1258"/>
      <c r="F890" s="1258"/>
      <c r="G890" s="780"/>
      <c r="I890" s="1058"/>
    </row>
    <row r="891" spans="1:9" ht="12.75" customHeight="1">
      <c r="A891" s="100"/>
      <c r="B891" s="100"/>
      <c r="C891" s="1068"/>
      <c r="D891" s="1258" t="s">
        <v>555</v>
      </c>
      <c r="E891" s="1258"/>
      <c r="F891" s="1258"/>
      <c r="G891" s="780"/>
      <c r="I891" s="1058"/>
    </row>
    <row r="892" spans="1:9" ht="12.75" customHeight="1">
      <c r="A892" s="100"/>
      <c r="B892" s="100"/>
      <c r="C892" s="1068"/>
      <c r="D892" s="1" t="s">
        <v>564</v>
      </c>
      <c r="E892" s="819" t="s">
        <v>384</v>
      </c>
      <c r="F892" s="822"/>
      <c r="G892" s="780"/>
      <c r="I892" s="1058"/>
    </row>
    <row r="893" spans="1:9" ht="12.75" customHeight="1">
      <c r="A893" s="100"/>
      <c r="B893" s="100"/>
      <c r="C893" s="1068"/>
      <c r="D893" s="68"/>
      <c r="E893" s="780"/>
      <c r="F893" s="780"/>
      <c r="G893" s="780"/>
      <c r="I893" s="1058"/>
    </row>
    <row r="894" spans="1:9" ht="12.75" customHeight="1">
      <c r="A894" s="100"/>
      <c r="B894" s="338" t="s">
        <v>314</v>
      </c>
      <c r="C894" s="1068"/>
      <c r="D894" s="1217" t="s">
        <v>556</v>
      </c>
      <c r="E894" s="1217"/>
      <c r="F894" s="1217"/>
      <c r="G894" s="780"/>
      <c r="I894" s="1058"/>
    </row>
    <row r="895" spans="1:9" ht="12.75" customHeight="1">
      <c r="A895" s="100"/>
      <c r="B895" s="100"/>
      <c r="C895" s="1068"/>
      <c r="D895" s="1217"/>
      <c r="E895" s="1217"/>
      <c r="F895" s="1217"/>
      <c r="G895" s="780"/>
      <c r="I895" s="1058"/>
    </row>
    <row r="896" spans="1:9" ht="12.75" customHeight="1">
      <c r="A896" s="100"/>
      <c r="B896" s="100"/>
      <c r="C896" s="1068"/>
      <c r="D896" s="1217"/>
      <c r="E896" s="1217"/>
      <c r="F896" s="1217"/>
      <c r="G896" s="780"/>
      <c r="I896" s="1058"/>
    </row>
    <row r="897" spans="1:9" ht="12.75" customHeight="1">
      <c r="A897" s="100"/>
      <c r="B897" s="100"/>
      <c r="C897" s="1068"/>
      <c r="D897" s="1217"/>
      <c r="E897" s="1217"/>
      <c r="F897" s="1217"/>
      <c r="G897" s="780"/>
      <c r="I897" s="1058"/>
    </row>
    <row r="898" spans="1:9" ht="12.75" customHeight="1">
      <c r="A898" s="68"/>
      <c r="B898" s="68"/>
      <c r="C898" s="781"/>
      <c r="D898" s="780"/>
      <c r="E898" s="780"/>
      <c r="F898" s="780"/>
      <c r="G898" s="780"/>
      <c r="I898" s="1058"/>
    </row>
    <row r="899" spans="1:9" ht="12.75" customHeight="1">
      <c r="A899" s="1266" t="s">
        <v>565</v>
      </c>
      <c r="B899" s="1266"/>
      <c r="C899" s="1266"/>
      <c r="D899" s="1266"/>
      <c r="E899" s="1266"/>
      <c r="F899" s="1266"/>
      <c r="G899" s="1266"/>
      <c r="H899" s="811"/>
      <c r="I899" s="933"/>
    </row>
    <row r="900" spans="1:9" ht="12.75" customHeight="1">
      <c r="A900" s="38"/>
      <c r="B900" s="38"/>
      <c r="C900" s="38"/>
      <c r="D900" s="38"/>
      <c r="E900" s="38"/>
      <c r="F900" s="38"/>
      <c r="G900" s="38"/>
      <c r="I900" s="1058"/>
    </row>
    <row r="901" spans="1:9" ht="12.75" customHeight="1">
      <c r="A901" s="38"/>
      <c r="B901" s="38"/>
      <c r="C901" s="38"/>
      <c r="D901" s="1282" t="s">
        <v>566</v>
      </c>
      <c r="E901" s="1282"/>
      <c r="F901" s="1282"/>
      <c r="G901" s="38"/>
      <c r="I901" s="1058"/>
    </row>
    <row r="902" spans="1:9" ht="12.75" customHeight="1">
      <c r="A902" s="38"/>
      <c r="B902" s="38"/>
      <c r="C902" s="38"/>
      <c r="D902" s="1040"/>
      <c r="E902" s="1040"/>
      <c r="F902" s="1040"/>
      <c r="G902" s="38"/>
      <c r="I902" s="1058"/>
    </row>
    <row r="903" spans="1:9" ht="12.75" customHeight="1">
      <c r="A903" s="38"/>
      <c r="B903" s="338" t="s">
        <v>309</v>
      </c>
      <c r="C903" s="38"/>
      <c r="D903" s="1041" t="s">
        <v>567</v>
      </c>
      <c r="E903" s="1040"/>
      <c r="F903" s="1040"/>
      <c r="G903" s="38"/>
      <c r="I903" s="1058"/>
    </row>
    <row r="904" spans="1:9" ht="12.75" customHeight="1">
      <c r="A904" s="38"/>
      <c r="B904" s="38"/>
      <c r="C904" s="38"/>
      <c r="D904" s="1040"/>
      <c r="E904" s="1040"/>
      <c r="F904" s="1040"/>
      <c r="G904" s="38"/>
      <c r="I904" s="1058"/>
    </row>
    <row r="905" spans="1:9" ht="12.75" customHeight="1">
      <c r="A905" s="1068"/>
      <c r="B905" s="1068"/>
      <c r="C905" s="781"/>
      <c r="D905" s="1282" t="s">
        <v>568</v>
      </c>
      <c r="E905" s="1282"/>
      <c r="F905" s="1282"/>
      <c r="G905" s="780"/>
      <c r="I905" s="1058"/>
    </row>
    <row r="906" spans="1:9" ht="12.75" customHeight="1">
      <c r="A906" s="98"/>
      <c r="B906" s="98"/>
      <c r="C906" s="98"/>
      <c r="D906" s="1257" t="s">
        <v>569</v>
      </c>
      <c r="E906" s="1257"/>
      <c r="F906" s="1257"/>
      <c r="G906" s="780"/>
      <c r="I906" s="1058"/>
    </row>
    <row r="907" spans="1:9" ht="12.75" customHeight="1">
      <c r="A907" s="781"/>
      <c r="B907" s="781"/>
      <c r="C907" s="781"/>
      <c r="D907" s="1"/>
      <c r="E907" s="780"/>
      <c r="F907" s="780"/>
      <c r="G907" s="780"/>
      <c r="I907" s="1058"/>
    </row>
    <row r="908" spans="1:9" ht="12.75" customHeight="1">
      <c r="A908" s="100"/>
      <c r="B908" s="338" t="s">
        <v>309</v>
      </c>
      <c r="C908" s="1068"/>
      <c r="D908" s="1217" t="s">
        <v>570</v>
      </c>
      <c r="E908" s="1217"/>
      <c r="F908" s="1217"/>
      <c r="G908" s="2"/>
      <c r="I908" s="1058"/>
    </row>
    <row r="909" spans="1:9" ht="12.75" customHeight="1">
      <c r="A909" s="1068"/>
      <c r="B909" s="1068"/>
      <c r="C909" s="1068"/>
      <c r="D909" s="1217"/>
      <c r="E909" s="1217"/>
      <c r="F909" s="1217"/>
      <c r="G909" s="2"/>
      <c r="I909" s="1058"/>
    </row>
    <row r="910" spans="1:9" ht="12.75" customHeight="1">
      <c r="A910" s="98"/>
      <c r="B910" s="98"/>
      <c r="C910" s="98"/>
      <c r="D910" s="1217" t="s">
        <v>571</v>
      </c>
      <c r="E910" s="1217"/>
      <c r="F910" s="1217"/>
      <c r="G910" s="780"/>
      <c r="I910" s="1058"/>
    </row>
    <row r="911" spans="1:9" ht="12.75" customHeight="1">
      <c r="A911" s="98"/>
      <c r="B911" s="98"/>
      <c r="C911" s="98"/>
      <c r="D911" s="1217"/>
      <c r="E911" s="1217"/>
      <c r="F911" s="1217"/>
      <c r="G911" s="780"/>
      <c r="I911" s="1058"/>
    </row>
    <row r="912" spans="1:9" ht="12.75" customHeight="1">
      <c r="A912" s="98"/>
      <c r="B912" s="98"/>
      <c r="C912" s="98"/>
      <c r="D912" s="2"/>
      <c r="E912" s="2"/>
      <c r="F912" s="780"/>
      <c r="G912" s="780"/>
      <c r="I912" s="1058"/>
    </row>
    <row r="913" spans="1:9" ht="12.75" customHeight="1">
      <c r="A913" s="100"/>
      <c r="B913" s="338" t="s">
        <v>309</v>
      </c>
      <c r="C913" s="99"/>
      <c r="D913" s="1221" t="s">
        <v>572</v>
      </c>
      <c r="E913" s="1221"/>
      <c r="F913" s="1221"/>
      <c r="G913" s="780"/>
      <c r="I913" s="1058"/>
    </row>
    <row r="914" spans="1:9" ht="12.75" customHeight="1">
      <c r="A914" s="100"/>
      <c r="B914" s="100"/>
      <c r="C914" s="99"/>
      <c r="D914" s="1221"/>
      <c r="E914" s="1221"/>
      <c r="F914" s="1221"/>
      <c r="G914" s="780"/>
      <c r="I914" s="1058"/>
    </row>
    <row r="915" spans="1:9" ht="12.75" customHeight="1">
      <c r="A915" s="100"/>
      <c r="B915" s="100"/>
      <c r="C915" s="99"/>
      <c r="D915" s="1221"/>
      <c r="E915" s="1221"/>
      <c r="F915" s="1221"/>
      <c r="G915" s="780"/>
      <c r="I915" s="1058"/>
    </row>
    <row r="916" spans="1:9" ht="12.75" customHeight="1">
      <c r="A916" s="100"/>
      <c r="B916" s="100"/>
      <c r="C916" s="99"/>
      <c r="D916" s="1221"/>
      <c r="E916" s="1221"/>
      <c r="F916" s="1221"/>
      <c r="G916" s="780"/>
      <c r="I916" s="1058"/>
    </row>
    <row r="917" spans="1:9" ht="12.75" customHeight="1">
      <c r="A917" s="100"/>
      <c r="B917" s="100"/>
      <c r="C917" s="99"/>
      <c r="D917" s="1221"/>
      <c r="E917" s="1221"/>
      <c r="F917" s="1221"/>
      <c r="G917" s="780"/>
      <c r="I917" s="1058"/>
    </row>
    <row r="918" spans="1:9" ht="12.75" customHeight="1">
      <c r="A918" s="99"/>
      <c r="B918" s="99"/>
      <c r="C918" s="99"/>
      <c r="D918" s="1221"/>
      <c r="E918" s="1221"/>
      <c r="F918" s="1221"/>
      <c r="G918" s="780"/>
      <c r="I918" s="1058"/>
    </row>
    <row r="919" spans="1:9" ht="12.75" customHeight="1">
      <c r="A919" s="99"/>
      <c r="B919" s="99"/>
      <c r="C919" s="99"/>
      <c r="D919" s="1221"/>
      <c r="E919" s="1221"/>
      <c r="F919" s="1221"/>
      <c r="G919" s="780"/>
      <c r="I919" s="1058"/>
    </row>
    <row r="920" spans="1:9" ht="12.75" customHeight="1">
      <c r="A920" s="99"/>
      <c r="B920" s="99"/>
      <c r="C920" s="99"/>
      <c r="D920" s="1221"/>
      <c r="E920" s="1221"/>
      <c r="F920" s="1221"/>
      <c r="G920" s="780"/>
      <c r="I920" s="1058"/>
    </row>
    <row r="921" spans="1:9" ht="12.75" customHeight="1">
      <c r="A921" s="99"/>
      <c r="B921" s="99"/>
      <c r="C921" s="99"/>
      <c r="D921" s="1036"/>
      <c r="E921" s="1036"/>
      <c r="F921" s="1036"/>
      <c r="G921" s="780"/>
      <c r="I921" s="1058"/>
    </row>
    <row r="922" spans="1:9" ht="12.75" customHeight="1">
      <c r="A922" s="781"/>
      <c r="B922" s="338" t="s">
        <v>314</v>
      </c>
      <c r="C922" s="781"/>
      <c r="D922" s="1217" t="s">
        <v>573</v>
      </c>
      <c r="E922" s="1217"/>
      <c r="F922" s="1217"/>
      <c r="G922" s="780"/>
      <c r="I922" s="1058"/>
    </row>
    <row r="923" spans="1:9" ht="12.75" customHeight="1">
      <c r="A923" s="781"/>
      <c r="B923" s="781"/>
      <c r="C923" s="781"/>
      <c r="D923" s="1217"/>
      <c r="E923" s="1217"/>
      <c r="F923" s="1217"/>
      <c r="G923" s="780"/>
      <c r="I923" s="1058"/>
    </row>
    <row r="924" spans="1:9" ht="12.75" customHeight="1">
      <c r="A924" s="781"/>
      <c r="B924" s="781"/>
      <c r="C924" s="781"/>
      <c r="D924" s="780"/>
      <c r="E924" s="780"/>
      <c r="F924" s="780"/>
      <c r="G924" s="780"/>
      <c r="I924" s="1058"/>
    </row>
    <row r="925" spans="1:9" ht="12.75" customHeight="1">
      <c r="A925" s="781"/>
      <c r="B925" s="338" t="s">
        <v>314</v>
      </c>
      <c r="C925" s="781"/>
      <c r="D925" s="1245" t="s">
        <v>574</v>
      </c>
      <c r="E925" s="1245"/>
      <c r="F925" s="1245"/>
      <c r="G925" s="780"/>
      <c r="I925" s="1058"/>
    </row>
    <row r="926" spans="1:9" ht="12.75" customHeight="1">
      <c r="A926" s="781"/>
      <c r="B926" s="781"/>
      <c r="C926" s="781"/>
      <c r="D926" s="1245"/>
      <c r="E926" s="1245"/>
      <c r="F926" s="1245"/>
      <c r="G926" s="780"/>
      <c r="I926" s="1058"/>
    </row>
    <row r="927" spans="1:9" ht="12.75" customHeight="1">
      <c r="A927" s="781"/>
      <c r="B927" s="781"/>
      <c r="C927" s="781"/>
      <c r="D927" s="1245"/>
      <c r="E927" s="1245"/>
      <c r="F927" s="1245"/>
      <c r="G927" s="780"/>
      <c r="I927" s="1058"/>
    </row>
    <row r="928" spans="1:9" ht="12.75" customHeight="1">
      <c r="A928" s="781"/>
      <c r="B928" s="781"/>
      <c r="C928" s="781"/>
      <c r="D928" s="1245"/>
      <c r="E928" s="1245"/>
      <c r="F928" s="1245"/>
      <c r="G928" s="780"/>
      <c r="I928" s="1058"/>
    </row>
    <row r="929" spans="1:9" ht="12.75" customHeight="1">
      <c r="A929" s="781"/>
      <c r="B929" s="781"/>
      <c r="C929" s="781"/>
      <c r="D929" s="68"/>
      <c r="E929" s="780"/>
      <c r="F929" s="780"/>
      <c r="G929" s="780"/>
      <c r="I929" s="1058"/>
    </row>
    <row r="930" spans="1:9" ht="12.75" customHeight="1">
      <c r="A930" s="781"/>
      <c r="B930" s="338" t="s">
        <v>314</v>
      </c>
      <c r="C930" s="781"/>
      <c r="D930" s="1257" t="s">
        <v>575</v>
      </c>
      <c r="E930" s="1257"/>
      <c r="F930" s="1257"/>
      <c r="G930" s="780"/>
      <c r="I930" s="1058"/>
    </row>
    <row r="931" spans="1:9" ht="12.75" customHeight="1">
      <c r="A931" s="781"/>
      <c r="B931" s="781"/>
      <c r="C931" s="781"/>
      <c r="D931" s="68"/>
      <c r="E931" s="780"/>
      <c r="F931" s="780"/>
      <c r="G931" s="780"/>
      <c r="I931" s="1058"/>
    </row>
    <row r="932" spans="1:9" ht="12.75" customHeight="1">
      <c r="A932" s="781"/>
      <c r="B932" s="338" t="s">
        <v>314</v>
      </c>
      <c r="C932" s="781"/>
      <c r="D932" s="1257" t="s">
        <v>576</v>
      </c>
      <c r="E932" s="1257"/>
      <c r="F932" s="1257"/>
      <c r="G932" s="780"/>
      <c r="I932" s="1058"/>
    </row>
    <row r="933" spans="1:9" ht="12.75" customHeight="1">
      <c r="A933" s="99"/>
      <c r="B933" s="99"/>
      <c r="C933" s="99"/>
      <c r="D933" s="1"/>
      <c r="E933" s="2"/>
      <c r="F933" s="780"/>
      <c r="G933" s="780"/>
      <c r="I933" s="1058"/>
    </row>
    <row r="934" spans="1:9" ht="12.75" customHeight="1">
      <c r="A934" s="787"/>
      <c r="B934" s="338" t="s">
        <v>314</v>
      </c>
      <c r="C934" s="788"/>
      <c r="D934" s="1221" t="s">
        <v>577</v>
      </c>
      <c r="E934" s="1221"/>
      <c r="F934" s="1221"/>
      <c r="G934" s="789"/>
      <c r="I934" s="1058"/>
    </row>
    <row r="935" spans="1:9" ht="12.75" customHeight="1">
      <c r="A935" s="787"/>
      <c r="B935" s="787"/>
      <c r="C935" s="788"/>
      <c r="D935" s="1221"/>
      <c r="E935" s="1221"/>
      <c r="F935" s="1221"/>
      <c r="G935" s="789"/>
      <c r="I935" s="1058"/>
    </row>
    <row r="936" spans="1:9" ht="12.75" customHeight="1">
      <c r="A936" s="787"/>
      <c r="B936" s="787"/>
      <c r="C936" s="788"/>
      <c r="D936" s="1221"/>
      <c r="E936" s="1221"/>
      <c r="F936" s="1221"/>
      <c r="G936" s="789"/>
      <c r="I936" s="1058"/>
    </row>
    <row r="937" spans="1:9" ht="12.75" customHeight="1">
      <c r="A937" s="787"/>
      <c r="B937" s="787"/>
      <c r="C937" s="788"/>
      <c r="D937" s="1221"/>
      <c r="E937" s="1221"/>
      <c r="F937" s="1221"/>
      <c r="G937" s="789"/>
      <c r="I937" s="1058"/>
    </row>
    <row r="938" spans="1:9" ht="12.75" customHeight="1">
      <c r="A938" s="787"/>
      <c r="B938" s="787"/>
      <c r="C938" s="788"/>
      <c r="D938" s="1221"/>
      <c r="E938" s="1221"/>
      <c r="F938" s="1221"/>
      <c r="G938" s="789"/>
      <c r="I938" s="1058"/>
    </row>
    <row r="939" spans="1:9" ht="12.75" customHeight="1">
      <c r="A939" s="787"/>
      <c r="B939" s="787"/>
      <c r="C939" s="788"/>
      <c r="D939" s="1221"/>
      <c r="E939" s="1221"/>
      <c r="F939" s="1221"/>
      <c r="G939" s="789"/>
      <c r="I939" s="1058"/>
    </row>
    <row r="940" spans="1:9" ht="12.75" customHeight="1">
      <c r="A940" s="787"/>
      <c r="B940" s="787"/>
      <c r="C940" s="788"/>
      <c r="D940" s="1221"/>
      <c r="E940" s="1221"/>
      <c r="F940" s="1221"/>
      <c r="G940" s="789"/>
      <c r="I940" s="1058"/>
    </row>
    <row r="941" spans="1:9" ht="12.75" customHeight="1">
      <c r="A941" s="787"/>
      <c r="B941" s="787"/>
      <c r="C941" s="788"/>
      <c r="D941" s="1221"/>
      <c r="E941" s="1221"/>
      <c r="F941" s="1221"/>
      <c r="G941" s="789"/>
      <c r="I941" s="1058"/>
    </row>
    <row r="942" spans="1:9" ht="12.75" customHeight="1">
      <c r="A942" s="787"/>
      <c r="B942" s="787"/>
      <c r="C942" s="788"/>
      <c r="D942" s="1221"/>
      <c r="E942" s="1221"/>
      <c r="F942" s="1221"/>
      <c r="G942" s="789"/>
      <c r="I942" s="1058"/>
    </row>
    <row r="943" spans="1:9" ht="12.75" customHeight="1">
      <c r="A943" s="99"/>
      <c r="B943" s="99"/>
      <c r="C943" s="99"/>
      <c r="D943" s="1"/>
      <c r="E943" s="2"/>
      <c r="F943" s="780"/>
      <c r="G943" s="780"/>
      <c r="I943" s="1058"/>
    </row>
    <row r="944" spans="1:9" ht="12.75" customHeight="1">
      <c r="A944" s="100"/>
      <c r="B944" s="338" t="s">
        <v>309</v>
      </c>
      <c r="C944" s="99"/>
      <c r="D944" s="1276" t="s">
        <v>578</v>
      </c>
      <c r="E944" s="1276"/>
      <c r="F944" s="1276"/>
      <c r="G944" s="780"/>
      <c r="I944" s="1058"/>
    </row>
    <row r="945" spans="1:9" ht="12.75" customHeight="1">
      <c r="A945" s="100"/>
      <c r="B945" s="100"/>
      <c r="C945" s="99"/>
      <c r="D945" s="1276"/>
      <c r="E945" s="1276"/>
      <c r="F945" s="1276"/>
      <c r="G945" s="780"/>
      <c r="I945" s="1058"/>
    </row>
    <row r="946" spans="1:9" ht="12.75" customHeight="1">
      <c r="A946" s="100"/>
      <c r="B946" s="100"/>
      <c r="C946" s="99"/>
      <c r="D946" s="1276"/>
      <c r="E946" s="1276"/>
      <c r="F946" s="1276"/>
      <c r="G946" s="780"/>
      <c r="I946" s="1058"/>
    </row>
    <row r="947" spans="1:9" ht="12.75" customHeight="1">
      <c r="A947" s="100"/>
      <c r="B947" s="100"/>
      <c r="C947" s="99"/>
      <c r="D947" s="1276"/>
      <c r="E947" s="1276"/>
      <c r="F947" s="1276"/>
      <c r="G947" s="780"/>
      <c r="I947" s="1058"/>
    </row>
    <row r="948" spans="1:9" ht="12.75" customHeight="1">
      <c r="A948" s="100"/>
      <c r="B948" s="100"/>
      <c r="C948" s="99"/>
      <c r="D948" s="1276"/>
      <c r="E948" s="1276"/>
      <c r="F948" s="1276"/>
      <c r="G948" s="780"/>
      <c r="I948" s="1058"/>
    </row>
    <row r="949" spans="1:9" ht="12.75" customHeight="1">
      <c r="A949" s="100"/>
      <c r="B949" s="100"/>
      <c r="C949" s="99"/>
      <c r="D949" s="1276"/>
      <c r="E949" s="1276"/>
      <c r="F949" s="1276"/>
      <c r="G949" s="780"/>
      <c r="I949" s="1058"/>
    </row>
    <row r="950" spans="1:9" ht="12.75" customHeight="1">
      <c r="A950" s="100"/>
      <c r="B950" s="100"/>
      <c r="C950" s="99"/>
      <c r="D950" s="1276"/>
      <c r="E950" s="1276"/>
      <c r="F950" s="1276"/>
      <c r="G950" s="780"/>
      <c r="I950" s="1058"/>
    </row>
    <row r="951" spans="1:9" ht="12.75" customHeight="1">
      <c r="A951" s="100"/>
      <c r="B951" s="100"/>
      <c r="C951" s="99"/>
      <c r="D951" s="1048"/>
      <c r="E951" s="1048"/>
      <c r="F951" s="1048"/>
      <c r="G951" s="780"/>
      <c r="I951" s="1058"/>
    </row>
    <row r="952" spans="1:9" ht="12.75" customHeight="1">
      <c r="A952" s="100"/>
      <c r="B952" s="338" t="s">
        <v>309</v>
      </c>
      <c r="C952" s="99"/>
      <c r="D952" s="1220" t="s">
        <v>579</v>
      </c>
      <c r="E952" s="1220"/>
      <c r="F952" s="1220"/>
      <c r="G952" s="780"/>
      <c r="I952" s="1058"/>
    </row>
    <row r="953" spans="1:9" ht="12.75" customHeight="1">
      <c r="A953" s="100"/>
      <c r="B953" s="100"/>
      <c r="C953" s="99"/>
      <c r="D953" s="1220"/>
      <c r="E953" s="1220"/>
      <c r="F953" s="1220"/>
      <c r="G953" s="780"/>
      <c r="I953" s="1058"/>
    </row>
    <row r="954" spans="1:9" ht="12.75" customHeight="1">
      <c r="A954" s="100"/>
      <c r="B954" s="100"/>
      <c r="C954" s="99"/>
      <c r="D954" s="1220"/>
      <c r="E954" s="1220"/>
      <c r="F954" s="1220"/>
      <c r="G954" s="780"/>
      <c r="I954" s="1058"/>
    </row>
    <row r="955" spans="1:9" ht="12.75" customHeight="1">
      <c r="A955" s="100"/>
      <c r="B955" s="100"/>
      <c r="C955" s="99"/>
      <c r="D955" s="1220"/>
      <c r="E955" s="1220"/>
      <c r="F955" s="1220"/>
      <c r="G955" s="780"/>
      <c r="I955" s="1058"/>
    </row>
    <row r="956" spans="1:9" ht="12.75" customHeight="1">
      <c r="A956" s="100"/>
      <c r="B956" s="100"/>
      <c r="C956" s="99"/>
      <c r="D956" s="1220"/>
      <c r="E956" s="1220"/>
      <c r="F956" s="1220"/>
      <c r="G956" s="780"/>
      <c r="I956" s="1058"/>
    </row>
    <row r="957" spans="1:9" ht="12.75" customHeight="1">
      <c r="A957" s="100"/>
      <c r="B957" s="100"/>
      <c r="C957" s="99"/>
      <c r="D957" s="1220"/>
      <c r="E957" s="1220"/>
      <c r="F957" s="1220"/>
      <c r="G957" s="780"/>
      <c r="I957" s="1058"/>
    </row>
    <row r="958" spans="1:9" ht="12.75" customHeight="1">
      <c r="A958" s="100"/>
      <c r="B958" s="100"/>
      <c r="C958" s="99"/>
      <c r="D958" s="1048"/>
      <c r="E958" s="1048"/>
      <c r="F958" s="1048"/>
      <c r="G958" s="780"/>
      <c r="I958" s="1058"/>
    </row>
    <row r="959" spans="1:9" ht="12.75" customHeight="1">
      <c r="A959" s="781"/>
      <c r="B959" s="338" t="s">
        <v>314</v>
      </c>
      <c r="C959" s="781"/>
      <c r="D959" s="1245" t="s">
        <v>580</v>
      </c>
      <c r="E959" s="1245"/>
      <c r="F959" s="1245"/>
      <c r="G959" s="780"/>
      <c r="I959" s="1058"/>
    </row>
    <row r="960" spans="1:9" ht="12.75" customHeight="1">
      <c r="A960" s="781"/>
      <c r="B960" s="781"/>
      <c r="C960" s="781"/>
      <c r="D960" s="1245"/>
      <c r="E960" s="1245"/>
      <c r="F960" s="1245"/>
      <c r="G960" s="780"/>
      <c r="I960" s="1058"/>
    </row>
    <row r="961" spans="1:9" ht="12.75" customHeight="1">
      <c r="A961" s="781"/>
      <c r="B961" s="781"/>
      <c r="C961" s="781"/>
      <c r="D961" s="1245"/>
      <c r="E961" s="1245"/>
      <c r="F961" s="1245"/>
      <c r="G961" s="780"/>
      <c r="I961" s="1058"/>
    </row>
    <row r="962" spans="1:9" ht="12.75" customHeight="1">
      <c r="A962" s="100"/>
      <c r="B962" s="100"/>
      <c r="C962" s="99"/>
      <c r="D962" s="1048"/>
      <c r="E962" s="1048"/>
      <c r="F962" s="1048"/>
      <c r="G962" s="780"/>
      <c r="I962" s="1058"/>
    </row>
    <row r="963" spans="1:9" ht="12.75" customHeight="1">
      <c r="A963" s="100"/>
      <c r="B963" s="100"/>
      <c r="C963" s="99"/>
      <c r="D963" s="668"/>
      <c r="E963" s="2"/>
      <c r="F963" s="780"/>
      <c r="G963" s="780"/>
      <c r="I963" s="1058"/>
    </row>
    <row r="964" spans="1:9" ht="12.75" customHeight="1">
      <c r="A964" s="100"/>
      <c r="B964" s="338" t="s">
        <v>314</v>
      </c>
      <c r="C964" s="99"/>
      <c r="D964" s="1221" t="s">
        <v>581</v>
      </c>
      <c r="E964" s="1221"/>
      <c r="F964" s="1221"/>
      <c r="G964" s="780"/>
      <c r="I964" s="1058"/>
    </row>
    <row r="965" spans="1:9" ht="12.75" customHeight="1">
      <c r="A965" s="100"/>
      <c r="B965" s="100"/>
      <c r="C965" s="99"/>
      <c r="D965" s="1221"/>
      <c r="E965" s="1221"/>
      <c r="F965" s="1221"/>
      <c r="G965" s="780"/>
      <c r="I965" s="1058"/>
    </row>
    <row r="966" spans="1:9" ht="12.75" customHeight="1">
      <c r="A966" s="100"/>
      <c r="B966" s="100"/>
      <c r="C966" s="99"/>
      <c r="D966" s="1221"/>
      <c r="E966" s="1221"/>
      <c r="F966" s="1221"/>
      <c r="G966" s="780"/>
      <c r="I966" s="1058"/>
    </row>
    <row r="967" spans="1:9" ht="12.75" customHeight="1">
      <c r="A967" s="100"/>
      <c r="B967" s="100"/>
      <c r="C967" s="99"/>
      <c r="D967" s="1221"/>
      <c r="E967" s="1221"/>
      <c r="F967" s="1221"/>
      <c r="G967" s="780"/>
      <c r="I967" s="1058"/>
    </row>
    <row r="968" spans="1:9" ht="12.75" customHeight="1">
      <c r="A968" s="781"/>
      <c r="B968" s="781"/>
      <c r="C968" s="781"/>
      <c r="D968" s="1034"/>
      <c r="E968" s="1034"/>
      <c r="F968" s="1034"/>
      <c r="G968" s="1034"/>
      <c r="I968" s="1058"/>
    </row>
    <row r="969" spans="1:9" ht="12.75" customHeight="1">
      <c r="A969" s="1068"/>
      <c r="B969" s="1068"/>
      <c r="C969" s="1068"/>
      <c r="D969" s="1279" t="s">
        <v>582</v>
      </c>
      <c r="E969" s="1279"/>
      <c r="F969" s="1279"/>
      <c r="G969" s="2"/>
      <c r="I969" s="1058"/>
    </row>
    <row r="970" spans="1:9" ht="12.75" customHeight="1">
      <c r="A970" s="100"/>
      <c r="B970" s="338" t="s">
        <v>314</v>
      </c>
      <c r="C970" s="1068"/>
      <c r="D970" s="1257" t="s">
        <v>583</v>
      </c>
      <c r="E970" s="1257"/>
      <c r="F970" s="1257"/>
      <c r="G970" s="2"/>
      <c r="I970" s="1058"/>
    </row>
    <row r="971" spans="1:9" ht="12.75" customHeight="1">
      <c r="A971" s="1068"/>
      <c r="B971" s="1068"/>
      <c r="C971" s="1068"/>
      <c r="D971" s="2"/>
      <c r="E971" s="2"/>
      <c r="F971" s="2"/>
      <c r="G971" s="2"/>
      <c r="I971" s="1058"/>
    </row>
    <row r="972" spans="1:9" ht="12.75" customHeight="1">
      <c r="A972" s="1068"/>
      <c r="B972" s="1068"/>
      <c r="C972" s="1068"/>
      <c r="D972" s="1279" t="s">
        <v>584</v>
      </c>
      <c r="E972" s="1279"/>
      <c r="F972" s="1279"/>
      <c r="G972"/>
      <c r="I972" s="1058"/>
    </row>
    <row r="973" spans="1:9" ht="12.75" customHeight="1">
      <c r="A973" s="100"/>
      <c r="B973" s="338" t="s">
        <v>314</v>
      </c>
      <c r="C973" s="1068"/>
      <c r="D973" s="1217" t="s">
        <v>585</v>
      </c>
      <c r="E973" s="1217"/>
      <c r="F973" s="1217"/>
      <c r="G973"/>
      <c r="I973" s="1058"/>
    </row>
    <row r="974" spans="1:9" ht="12.75" customHeight="1">
      <c r="A974" s="100"/>
      <c r="B974" s="100"/>
      <c r="C974" s="1068"/>
      <c r="D974" s="1217"/>
      <c r="E974" s="1217"/>
      <c r="F974" s="1217"/>
      <c r="G974"/>
      <c r="I974" s="1058"/>
    </row>
    <row r="975" spans="1:9" ht="12.75" customHeight="1">
      <c r="A975" s="100"/>
      <c r="B975" s="100"/>
      <c r="C975" s="1068"/>
      <c r="D975" s="1217"/>
      <c r="E975" s="1217"/>
      <c r="F975" s="1217"/>
      <c r="G975"/>
      <c r="I975" s="1058"/>
    </row>
    <row r="976" spans="1:9" ht="12.75" customHeight="1">
      <c r="A976" s="100"/>
      <c r="B976" s="100"/>
      <c r="C976" s="1068"/>
      <c r="D976" s="1217"/>
      <c r="E976" s="1217"/>
      <c r="F976" s="1217"/>
      <c r="G976"/>
      <c r="I976" s="1058"/>
    </row>
    <row r="977" spans="1:9" ht="12.75" customHeight="1">
      <c r="A977" s="100"/>
      <c r="B977" s="100"/>
      <c r="C977" s="1068"/>
      <c r="D977" s="1217"/>
      <c r="E977" s="1217"/>
      <c r="F977" s="1217"/>
      <c r="G977"/>
      <c r="I977" s="1058"/>
    </row>
    <row r="978" spans="1:9" ht="12.75" customHeight="1">
      <c r="A978" s="100"/>
      <c r="B978" s="100"/>
      <c r="C978" s="1068"/>
      <c r="D978" s="1217"/>
      <c r="E978" s="1217"/>
      <c r="F978" s="1217"/>
      <c r="G978"/>
      <c r="I978" s="1058"/>
    </row>
    <row r="979" spans="1:9" ht="12.75" customHeight="1">
      <c r="A979" s="100"/>
      <c r="B979" s="100"/>
      <c r="C979" s="1068"/>
      <c r="D979" s="1217"/>
      <c r="E979" s="1217"/>
      <c r="F979" s="1217"/>
      <c r="G979"/>
      <c r="I979" s="1058"/>
    </row>
    <row r="980" spans="1:9" ht="12.75" customHeight="1">
      <c r="A980" s="100"/>
      <c r="B980" s="100"/>
      <c r="C980" s="1068"/>
      <c r="D980" s="1217"/>
      <c r="E980" s="1217"/>
      <c r="F980" s="1217"/>
      <c r="G980"/>
      <c r="I980" s="1058"/>
    </row>
    <row r="981" spans="1:9" ht="12.75" customHeight="1">
      <c r="A981" s="100"/>
      <c r="B981" s="100"/>
      <c r="C981" s="1068"/>
      <c r="D981" s="1217"/>
      <c r="E981" s="1217"/>
      <c r="F981" s="1217"/>
      <c r="G981"/>
      <c r="I981" s="1058"/>
    </row>
    <row r="982" spans="1:9" ht="12.75" customHeight="1">
      <c r="A982" s="100"/>
      <c r="B982" s="100"/>
      <c r="C982" s="1068"/>
      <c r="D982" s="1217"/>
      <c r="E982" s="1217"/>
      <c r="F982" s="1217"/>
      <c r="G982"/>
      <c r="I982" s="1058"/>
    </row>
    <row r="983" spans="1:9" ht="12.75" customHeight="1">
      <c r="A983" s="100"/>
      <c r="B983" s="100"/>
      <c r="C983" s="1068"/>
      <c r="D983" s="1217"/>
      <c r="E983" s="1217"/>
      <c r="F983" s="1217"/>
      <c r="G983"/>
      <c r="I983" s="1058"/>
    </row>
    <row r="984" spans="1:9" ht="12.75" customHeight="1">
      <c r="A984" s="100"/>
      <c r="B984" s="100"/>
      <c r="C984" s="1068"/>
      <c r="D984" s="1217"/>
      <c r="E984" s="1217"/>
      <c r="F984" s="1217"/>
      <c r="G984"/>
      <c r="I984" s="1058"/>
    </row>
    <row r="985" spans="1:9" ht="12.75" customHeight="1">
      <c r="A985" s="100"/>
      <c r="B985" s="100"/>
      <c r="C985" s="1068"/>
      <c r="D985" s="1217"/>
      <c r="E985" s="1217"/>
      <c r="F985" s="1217"/>
      <c r="G985"/>
      <c r="I985" s="1058"/>
    </row>
    <row r="986" spans="1:9" ht="12.75" customHeight="1">
      <c r="A986" s="100"/>
      <c r="B986" s="100"/>
      <c r="C986" s="1068"/>
      <c r="D986" s="1217"/>
      <c r="E986" s="1217"/>
      <c r="F986" s="1217"/>
      <c r="G986"/>
      <c r="I986" s="1058"/>
    </row>
    <row r="987" spans="1:9" ht="12.75" customHeight="1">
      <c r="A987" s="100"/>
      <c r="B987" s="100"/>
      <c r="C987" s="1068"/>
      <c r="D987" s="1217"/>
      <c r="E987" s="1217"/>
      <c r="F987" s="1217"/>
      <c r="G987" s="2"/>
      <c r="I987" s="1058"/>
    </row>
    <row r="988" spans="1:9" ht="12.75" customHeight="1">
      <c r="A988" s="1068"/>
      <c r="B988" s="1068"/>
      <c r="C988" s="1068"/>
      <c r="D988" s="2"/>
      <c r="E988" s="2"/>
      <c r="F988" s="2"/>
      <c r="G988" s="2"/>
      <c r="I988" s="1058"/>
    </row>
    <row r="989" spans="1:9" ht="12.75" customHeight="1">
      <c r="A989" s="1266" t="s">
        <v>586</v>
      </c>
      <c r="B989" s="1266"/>
      <c r="C989" s="1266"/>
      <c r="D989" s="1266"/>
      <c r="E989" s="1266"/>
      <c r="F989" s="1266"/>
      <c r="G989" s="1266"/>
      <c r="H989" s="811"/>
      <c r="I989" s="933"/>
    </row>
    <row r="990" spans="1:9" ht="12.75" customHeight="1">
      <c r="A990" s="68"/>
      <c r="B990" s="68"/>
      <c r="C990" s="1068"/>
      <c r="D990" s="2"/>
      <c r="E990" s="2"/>
      <c r="F990" s="2"/>
      <c r="G990" s="2"/>
      <c r="I990" s="1058"/>
    </row>
    <row r="991" spans="1:9" ht="12.75" customHeight="1">
      <c r="A991" s="1068"/>
      <c r="B991" s="1068"/>
      <c r="C991" s="781"/>
      <c r="D991" s="1279" t="s">
        <v>587</v>
      </c>
      <c r="E991" s="1279"/>
      <c r="F991" s="1279"/>
      <c r="G991" s="2"/>
      <c r="I991" s="1058"/>
    </row>
    <row r="992" spans="1:9" ht="12.75" customHeight="1">
      <c r="A992" s="98"/>
      <c r="B992" s="98"/>
      <c r="C992" s="98"/>
      <c r="D992" s="1257" t="s">
        <v>588</v>
      </c>
      <c r="E992" s="1257"/>
      <c r="F992" s="1257"/>
      <c r="G992" s="2"/>
      <c r="I992" s="1058"/>
    </row>
    <row r="993" spans="1:9" ht="12.75" customHeight="1">
      <c r="A993" s="98"/>
      <c r="B993" s="98"/>
      <c r="C993" s="98"/>
      <c r="D993" s="2"/>
      <c r="E993" s="2"/>
      <c r="F993" s="780"/>
      <c r="G993"/>
      <c r="I993" s="1058"/>
    </row>
    <row r="994" spans="1:9" ht="12.75" customHeight="1">
      <c r="A994" s="1068"/>
      <c r="B994" s="338" t="s">
        <v>309</v>
      </c>
      <c r="C994" s="1068"/>
      <c r="D994" s="1281" t="s">
        <v>589</v>
      </c>
      <c r="E994" s="1281"/>
      <c r="F994" s="1281"/>
      <c r="G994"/>
      <c r="I994" s="1058"/>
    </row>
    <row r="995" spans="1:9" ht="12.75" customHeight="1">
      <c r="A995" s="1068"/>
      <c r="B995" s="1068"/>
      <c r="C995" s="1068"/>
      <c r="D995" s="1281"/>
      <c r="E995" s="1281"/>
      <c r="F995" s="1281"/>
      <c r="G995"/>
      <c r="I995" s="1058"/>
    </row>
    <row r="996" spans="1:9" ht="12.75" customHeight="1">
      <c r="A996" s="1068"/>
      <c r="B996" s="1068"/>
      <c r="C996" s="1068"/>
      <c r="D996" s="1047"/>
      <c r="E996" s="819" t="s">
        <v>590</v>
      </c>
      <c r="F996" s="1047"/>
      <c r="G996"/>
      <c r="I996" s="1058"/>
    </row>
    <row r="997" spans="1:9" ht="12.75" customHeight="1">
      <c r="A997" s="1068"/>
      <c r="B997" s="1068"/>
      <c r="C997" s="1068"/>
      <c r="D997" s="1223" t="s">
        <v>591</v>
      </c>
      <c r="E997" s="1223"/>
      <c r="F997" s="1223"/>
      <c r="G997"/>
      <c r="I997" s="1058"/>
    </row>
    <row r="998" spans="1:9" ht="12.75" customHeight="1">
      <c r="A998" s="1068"/>
      <c r="B998" s="1068"/>
      <c r="C998" s="1068"/>
      <c r="D998" s="1223"/>
      <c r="E998" s="1223"/>
      <c r="F998" s="1223"/>
      <c r="G998"/>
      <c r="I998" s="1058"/>
    </row>
    <row r="999" spans="1:9" ht="12.75" customHeight="1">
      <c r="A999" s="99"/>
      <c r="B999" s="99"/>
      <c r="C999" s="99"/>
      <c r="D999" s="1223"/>
      <c r="E999" s="1223"/>
      <c r="F999" s="1223"/>
      <c r="G999"/>
      <c r="I999" s="1058"/>
    </row>
    <row r="1000" spans="1:9" ht="12.75" customHeight="1">
      <c r="A1000" s="99"/>
      <c r="B1000" s="99"/>
      <c r="C1000" s="99"/>
      <c r="D1000" s="1223"/>
      <c r="E1000" s="1223"/>
      <c r="F1000" s="1223"/>
      <c r="G1000"/>
      <c r="I1000" s="1058"/>
    </row>
    <row r="1001" spans="1:9" ht="12.75" customHeight="1">
      <c r="A1001" s="99"/>
      <c r="B1001" s="99"/>
      <c r="C1001" s="99"/>
      <c r="D1001" s="1036"/>
      <c r="E1001" s="1036"/>
      <c r="F1001" s="1036"/>
      <c r="G1001"/>
      <c r="I1001" s="1058"/>
    </row>
    <row r="1002" spans="1:9" ht="12.75" customHeight="1">
      <c r="A1002" s="99"/>
      <c r="B1002" s="338" t="s">
        <v>314</v>
      </c>
      <c r="C1002" s="99"/>
      <c r="D1002" s="1217" t="s">
        <v>592</v>
      </c>
      <c r="E1002" s="1217"/>
      <c r="F1002" s="1217"/>
      <c r="G1002"/>
      <c r="I1002" s="1058"/>
    </row>
    <row r="1003" spans="1:9" ht="12.75" customHeight="1">
      <c r="A1003" s="99"/>
      <c r="B1003" s="99"/>
      <c r="C1003" s="99"/>
      <c r="D1003" s="1217"/>
      <c r="E1003" s="1217"/>
      <c r="F1003" s="1217"/>
      <c r="G1003"/>
      <c r="I1003" s="1058"/>
    </row>
    <row r="1004" spans="1:9" ht="12.75" customHeight="1">
      <c r="A1004" s="99"/>
      <c r="B1004" s="99"/>
      <c r="C1004" s="99"/>
      <c r="D1004" s="1217"/>
      <c r="E1004" s="1217"/>
      <c r="F1004" s="1217"/>
      <c r="G1004"/>
      <c r="I1004" s="1058"/>
    </row>
    <row r="1005" spans="1:9" ht="12.75" customHeight="1">
      <c r="A1005" s="99"/>
      <c r="B1005" s="99"/>
      <c r="C1005" s="99"/>
      <c r="D1005" s="1217"/>
      <c r="E1005" s="1217"/>
      <c r="F1005" s="1217"/>
      <c r="G1005"/>
      <c r="I1005" s="1058"/>
    </row>
    <row r="1006" spans="1:9" ht="12.75" customHeight="1">
      <c r="A1006" s="99"/>
      <c r="B1006" s="99"/>
      <c r="C1006" s="99"/>
      <c r="D1006" s="1031"/>
      <c r="E1006" s="1031"/>
      <c r="F1006" s="1031"/>
      <c r="G1006"/>
      <c r="I1006" s="1058"/>
    </row>
    <row r="1007" spans="1:9" ht="12.75" customHeight="1">
      <c r="A1007" s="99"/>
      <c r="B1007" s="338" t="s">
        <v>314</v>
      </c>
      <c r="C1007" s="99"/>
      <c r="D1007" s="1217" t="s">
        <v>593</v>
      </c>
      <c r="E1007" s="1217"/>
      <c r="F1007" s="1217"/>
      <c r="G1007"/>
      <c r="I1007" s="1058"/>
    </row>
    <row r="1008" spans="1:9" ht="12.75" customHeight="1">
      <c r="A1008" s="99"/>
      <c r="B1008" s="99"/>
      <c r="C1008" s="99"/>
      <c r="D1008" s="1217"/>
      <c r="E1008" s="1217"/>
      <c r="F1008" s="1217"/>
      <c r="G1008"/>
      <c r="I1008" s="1058"/>
    </row>
    <row r="1009" spans="1:9" ht="12.75" customHeight="1">
      <c r="A1009" s="99"/>
      <c r="B1009" s="99"/>
      <c r="C1009" s="99"/>
      <c r="D1009" s="1031"/>
      <c r="E1009" s="1031"/>
      <c r="F1009" s="1031"/>
      <c r="G1009"/>
      <c r="I1009" s="1058"/>
    </row>
    <row r="1010" spans="1:9" ht="12.75" customHeight="1">
      <c r="A1010" s="100"/>
      <c r="B1010" s="338" t="s">
        <v>309</v>
      </c>
      <c r="C1010" s="1068"/>
      <c r="D1010" s="1257" t="s">
        <v>594</v>
      </c>
      <c r="E1010" s="1257"/>
      <c r="F1010" s="1257"/>
      <c r="G1010"/>
      <c r="I1010" s="1058"/>
    </row>
    <row r="1011" spans="1:9" ht="12.75" customHeight="1">
      <c r="A1011" s="1068"/>
      <c r="B1011" s="1068"/>
      <c r="C1011" s="1068"/>
      <c r="D1011" s="2"/>
      <c r="E1011" s="2"/>
      <c r="F1011" s="2"/>
      <c r="G1011"/>
      <c r="I1011" s="1058"/>
    </row>
    <row r="1012" spans="1:9" ht="12.75" customHeight="1">
      <c r="A1012" s="100"/>
      <c r="B1012" s="338" t="s">
        <v>309</v>
      </c>
      <c r="C1012" s="1068"/>
      <c r="D1012" s="1257" t="s">
        <v>595</v>
      </c>
      <c r="E1012" s="1257"/>
      <c r="F1012" s="1257"/>
      <c r="G1012"/>
      <c r="I1012" s="1058"/>
    </row>
    <row r="1013" spans="1:9" ht="12.75" customHeight="1">
      <c r="A1013" s="1068"/>
      <c r="B1013" s="1068"/>
      <c r="C1013" s="1068"/>
      <c r="D1013" s="68"/>
      <c r="E1013" s="2"/>
      <c r="F1013" s="2"/>
      <c r="G1013"/>
      <c r="I1013" s="1058"/>
    </row>
    <row r="1014" spans="1:9" ht="12.75" customHeight="1">
      <c r="A1014" s="100"/>
      <c r="B1014" s="338" t="s">
        <v>309</v>
      </c>
      <c r="C1014" s="1068"/>
      <c r="D1014" s="1257" t="s">
        <v>596</v>
      </c>
      <c r="E1014" s="1257"/>
      <c r="F1014" s="1257"/>
      <c r="G1014"/>
      <c r="I1014" s="1058"/>
    </row>
    <row r="1015" spans="1:9" ht="12.75" customHeight="1">
      <c r="A1015" s="1068"/>
      <c r="B1015" s="1068"/>
      <c r="C1015" s="1068"/>
      <c r="D1015" s="68"/>
      <c r="E1015" s="2"/>
      <c r="F1015" s="2"/>
      <c r="G1015"/>
      <c r="I1015" s="1058"/>
    </row>
    <row r="1016" spans="1:9" ht="12.75" customHeight="1">
      <c r="A1016" s="100"/>
      <c r="B1016" s="338" t="s">
        <v>309</v>
      </c>
      <c r="C1016" s="1068"/>
      <c r="D1016" s="1217" t="s">
        <v>597</v>
      </c>
      <c r="E1016" s="1217"/>
      <c r="F1016" s="1217"/>
      <c r="G1016"/>
      <c r="I1016" s="1058"/>
    </row>
    <row r="1017" spans="1:9" ht="12.75" customHeight="1">
      <c r="A1017" s="100"/>
      <c r="B1017" s="100"/>
      <c r="C1017" s="1068"/>
      <c r="D1017" s="1217"/>
      <c r="E1017" s="1217"/>
      <c r="F1017" s="1217"/>
      <c r="G1017"/>
      <c r="I1017" s="1058"/>
    </row>
    <row r="1018" spans="1:9" ht="12.75" customHeight="1">
      <c r="A1018" s="100"/>
      <c r="B1018" s="100"/>
      <c r="C1018" s="1068"/>
      <c r="D1018" s="68"/>
      <c r="E1018" s="2"/>
      <c r="F1018" s="2"/>
      <c r="G1018" s="2"/>
      <c r="I1018" s="1058"/>
    </row>
    <row r="1019" spans="1:9" ht="12.75" customHeight="1">
      <c r="A1019" s="144"/>
      <c r="B1019" s="338" t="s">
        <v>314</v>
      </c>
      <c r="C1019" s="790"/>
      <c r="D1019" s="1273" t="s">
        <v>598</v>
      </c>
      <c r="E1019" s="1273"/>
      <c r="F1019" s="1273"/>
      <c r="G1019" s="791"/>
      <c r="I1019" s="1058"/>
    </row>
    <row r="1020" spans="1:9" ht="12.75" customHeight="1">
      <c r="A1020" s="790"/>
      <c r="B1020" s="790"/>
      <c r="C1020" s="790"/>
      <c r="D1020" s="1273"/>
      <c r="E1020" s="1273"/>
      <c r="F1020" s="1273"/>
      <c r="G1020" s="791"/>
      <c r="I1020" s="1058"/>
    </row>
    <row r="1021" spans="1:9" ht="12.75" customHeight="1">
      <c r="A1021" s="790"/>
      <c r="B1021" s="790"/>
      <c r="C1021" s="790"/>
      <c r="D1021" s="1041"/>
      <c r="E1021" s="791"/>
      <c r="F1021" s="791"/>
      <c r="G1021" s="791"/>
      <c r="I1021" s="1058"/>
    </row>
    <row r="1022" spans="1:9" ht="12.75" customHeight="1">
      <c r="A1022" s="144"/>
      <c r="B1022" s="338" t="s">
        <v>314</v>
      </c>
      <c r="C1022" s="790"/>
      <c r="D1022" s="1280" t="s">
        <v>599</v>
      </c>
      <c r="E1022" s="1280"/>
      <c r="F1022" s="1280"/>
      <c r="G1022" s="791"/>
      <c r="I1022" s="1058"/>
    </row>
    <row r="1023" spans="1:9" ht="12.75" customHeight="1">
      <c r="A1023" s="790"/>
      <c r="B1023" s="790"/>
      <c r="C1023" s="790"/>
      <c r="D1023" s="1041"/>
      <c r="E1023" s="791"/>
      <c r="F1023" s="791"/>
      <c r="G1023" s="791"/>
      <c r="I1023" s="1058"/>
    </row>
    <row r="1024" spans="1:9" ht="12.75" customHeight="1">
      <c r="A1024" s="100"/>
      <c r="B1024" s="338" t="s">
        <v>314</v>
      </c>
      <c r="C1024" s="1068"/>
      <c r="D1024" s="1257" t="s">
        <v>600</v>
      </c>
      <c r="E1024" s="1257"/>
      <c r="F1024" s="1257"/>
      <c r="G1024" s="2"/>
      <c r="I1024" s="1058"/>
    </row>
    <row r="1025" spans="1:9" ht="12.75" customHeight="1">
      <c r="A1025" s="100"/>
      <c r="B1025" s="100"/>
      <c r="C1025" s="1068"/>
      <c r="D1025" s="68"/>
      <c r="E1025" s="2"/>
      <c r="F1025" s="2"/>
      <c r="G1025" s="2"/>
      <c r="I1025" s="1058"/>
    </row>
    <row r="1026" spans="1:9" ht="12.75" customHeight="1">
      <c r="A1026" s="100"/>
      <c r="B1026" s="338" t="s">
        <v>309</v>
      </c>
      <c r="C1026" s="1068"/>
      <c r="D1026" s="1217" t="s">
        <v>601</v>
      </c>
      <c r="E1026" s="1217"/>
      <c r="F1026" s="1217"/>
      <c r="G1026" s="2"/>
      <c r="I1026" s="1058"/>
    </row>
    <row r="1027" spans="1:9" ht="12.75" customHeight="1">
      <c r="A1027" s="100"/>
      <c r="B1027" s="100"/>
      <c r="C1027" s="1068"/>
      <c r="D1027" s="1217"/>
      <c r="E1027" s="1217"/>
      <c r="F1027" s="1217"/>
      <c r="G1027" s="2"/>
      <c r="I1027" s="1058"/>
    </row>
    <row r="1028" spans="1:9" ht="12.75" customHeight="1">
      <c r="A1028" s="1068"/>
      <c r="B1028" s="1068"/>
      <c r="C1028" s="1068"/>
      <c r="D1028" s="2"/>
      <c r="E1028" s="2"/>
      <c r="F1028" s="2"/>
      <c r="G1028" s="2"/>
      <c r="I1028" s="1058"/>
    </row>
    <row r="1029" spans="1:9" ht="12.75" customHeight="1">
      <c r="A1029" s="1266" t="s">
        <v>602</v>
      </c>
      <c r="B1029" s="1266"/>
      <c r="C1029" s="1266"/>
      <c r="D1029" s="1266"/>
      <c r="E1029" s="1266"/>
      <c r="F1029" s="1266"/>
      <c r="G1029" s="1266"/>
      <c r="H1029" s="811"/>
      <c r="I1029" s="933"/>
    </row>
    <row r="1030" spans="1:9" ht="12.75" customHeight="1">
      <c r="A1030" s="1068"/>
      <c r="B1030" s="1068"/>
      <c r="C1030" s="1068"/>
      <c r="D1030" s="2"/>
      <c r="E1030" s="2"/>
      <c r="F1030" s="2"/>
      <c r="G1030" s="2"/>
      <c r="I1030" s="1058"/>
    </row>
    <row r="1031" spans="1:9" ht="12.75" customHeight="1">
      <c r="A1031" s="1068"/>
      <c r="B1031" s="1068"/>
      <c r="C1031" s="1068"/>
      <c r="D1031" s="1282" t="s">
        <v>603</v>
      </c>
      <c r="E1031" s="1282"/>
      <c r="F1031" s="1282"/>
      <c r="G1031" s="2"/>
      <c r="I1031" s="1058"/>
    </row>
    <row r="1032" spans="1:9" ht="12.75" customHeight="1">
      <c r="A1032" s="1068"/>
      <c r="B1032" s="1068"/>
      <c r="C1032" s="1068"/>
      <c r="D1032" s="1280" t="s">
        <v>604</v>
      </c>
      <c r="E1032" s="1280"/>
      <c r="F1032" s="1280"/>
      <c r="G1032" s="2"/>
      <c r="I1032" s="1058"/>
    </row>
    <row r="1033" spans="1:9" ht="12.75" customHeight="1">
      <c r="A1033" s="98"/>
      <c r="B1033" s="98"/>
      <c r="C1033" s="98"/>
      <c r="D1033" s="2"/>
      <c r="E1033" s="2"/>
      <c r="F1033" s="2"/>
      <c r="G1033" s="2"/>
      <c r="I1033" s="1058"/>
    </row>
    <row r="1034" spans="1:9" ht="12.75" customHeight="1">
      <c r="A1034" s="100"/>
      <c r="B1034" s="100"/>
      <c r="C1034" s="99"/>
      <c r="D1034" s="1282" t="s">
        <v>605</v>
      </c>
      <c r="E1034" s="1282"/>
      <c r="F1034" s="1282"/>
      <c r="G1034" s="2"/>
      <c r="I1034" s="1058"/>
    </row>
    <row r="1035" spans="1:9" ht="12.75" customHeight="1">
      <c r="A1035" s="1068"/>
      <c r="B1035" s="338" t="s">
        <v>309</v>
      </c>
      <c r="C1035" s="1068"/>
      <c r="D1035" s="1280" t="s">
        <v>606</v>
      </c>
      <c r="E1035" s="1280"/>
      <c r="F1035" s="1280"/>
      <c r="G1035" s="2"/>
      <c r="I1035" s="1058"/>
    </row>
    <row r="1036" spans="1:9" ht="12.75" customHeight="1">
      <c r="A1036" s="1068"/>
      <c r="B1036" s="100"/>
      <c r="C1036" s="1068"/>
      <c r="D1036" s="1280" t="s">
        <v>607</v>
      </c>
      <c r="E1036" s="1280"/>
      <c r="F1036" s="1280"/>
      <c r="G1036" s="2"/>
      <c r="I1036" s="1058"/>
    </row>
    <row r="1037" spans="1:9" ht="12.75" customHeight="1">
      <c r="A1037" s="1068"/>
      <c r="B1037" s="1068"/>
      <c r="C1037" s="1068"/>
      <c r="D1037" s="1280"/>
      <c r="E1037" s="1280"/>
      <c r="F1037" s="1280"/>
      <c r="G1037" s="2"/>
      <c r="I1037" s="1058"/>
    </row>
    <row r="1038" spans="1:9" ht="12.75" customHeight="1">
      <c r="A1038" s="1266" t="s">
        <v>608</v>
      </c>
      <c r="B1038" s="1266"/>
      <c r="C1038" s="1266"/>
      <c r="D1038" s="1266"/>
      <c r="E1038" s="1266"/>
      <c r="F1038" s="1266"/>
      <c r="G1038" s="1266"/>
      <c r="H1038" s="811"/>
      <c r="I1038" s="933"/>
    </row>
    <row r="1039" spans="1:9" ht="12.75" customHeight="1">
      <c r="A1039" s="68"/>
      <c r="B1039" s="68"/>
      <c r="C1039" s="1068"/>
      <c r="D1039" s="2"/>
      <c r="E1039" s="2"/>
      <c r="F1039" s="2"/>
      <c r="G1039" s="2"/>
      <c r="I1039" s="1058"/>
    </row>
    <row r="1040" spans="1:9" ht="12.75" hidden="1" customHeight="1">
      <c r="A1040" s="68"/>
      <c r="B1040" s="272"/>
      <c r="D1040" s="1287" t="s">
        <v>609</v>
      </c>
      <c r="E1040" s="1287"/>
      <c r="F1040" s="1287"/>
      <c r="G1040" s="2"/>
      <c r="I1040" s="1058"/>
    </row>
    <row r="1041" spans="1:9" ht="12.75" hidden="1" customHeight="1">
      <c r="A1041" s="68"/>
      <c r="B1041" s="338" t="s">
        <v>478</v>
      </c>
      <c r="D1041" s="1249" t="s">
        <v>606</v>
      </c>
      <c r="E1041" s="1249"/>
      <c r="F1041" s="1249"/>
      <c r="G1041" s="2"/>
      <c r="I1041" s="1058"/>
    </row>
    <row r="1042" spans="1:9" ht="12.75" hidden="1" customHeight="1">
      <c r="A1042" s="68"/>
      <c r="B1042" s="272"/>
      <c r="D1042" s="1249" t="s">
        <v>610</v>
      </c>
      <c r="E1042" s="1249"/>
      <c r="F1042" s="1249"/>
      <c r="G1042" s="2"/>
      <c r="I1042" s="1058"/>
    </row>
    <row r="1043" spans="1:9" ht="12.75" hidden="1" customHeight="1">
      <c r="A1043" s="68"/>
      <c r="B1043" s="272"/>
      <c r="D1043" s="1039"/>
      <c r="E1043" s="1039"/>
      <c r="F1043" s="1039"/>
      <c r="G1043" s="2"/>
      <c r="I1043" s="1058"/>
    </row>
    <row r="1044" spans="1:9" ht="12.75" customHeight="1">
      <c r="A1044" s="68"/>
      <c r="B1044" s="68"/>
      <c r="C1044" s="1068"/>
      <c r="D1044" s="1288" t="s">
        <v>611</v>
      </c>
      <c r="E1044" s="1288"/>
      <c r="F1044" s="1288"/>
      <c r="G1044" s="2"/>
      <c r="I1044" s="1058"/>
    </row>
    <row r="1045" spans="1:9" ht="12.75" customHeight="1">
      <c r="A1045" s="198"/>
      <c r="B1045" s="198"/>
      <c r="C1045" s="198"/>
      <c r="D1045" s="1258" t="s">
        <v>612</v>
      </c>
      <c r="E1045" s="1258"/>
      <c r="F1045" s="1258"/>
      <c r="G1045" s="57"/>
      <c r="I1045" s="1058"/>
    </row>
    <row r="1046" spans="1:9" ht="12.75" customHeight="1">
      <c r="A1046" s="100"/>
      <c r="B1046" s="338" t="s">
        <v>314</v>
      </c>
      <c r="C1046" s="1068"/>
      <c r="D1046" s="1258" t="s">
        <v>613</v>
      </c>
      <c r="E1046" s="1258"/>
      <c r="F1046" s="1258"/>
      <c r="G1046" s="2"/>
      <c r="I1046" s="1058"/>
    </row>
    <row r="1047" spans="1:9" ht="12.75" customHeight="1">
      <c r="A1047" s="1068"/>
      <c r="B1047" s="1068"/>
      <c r="C1047" s="1068"/>
      <c r="D1047" s="819" t="s">
        <v>614</v>
      </c>
      <c r="E1047" s="55"/>
      <c r="F1047" s="55"/>
      <c r="G1047" s="2"/>
      <c r="I1047" s="1058"/>
    </row>
    <row r="1048" spans="1:9">
      <c r="A1048" s="272"/>
      <c r="B1048" s="272"/>
      <c r="C1048" s="272"/>
      <c r="I1048" s="1058"/>
    </row>
    <row r="1049" spans="1:9">
      <c r="A1049" s="1266" t="s">
        <v>615</v>
      </c>
      <c r="B1049" s="1266"/>
      <c r="C1049" s="1266"/>
      <c r="D1049" s="1266"/>
      <c r="E1049" s="1266"/>
      <c r="F1049" s="1266"/>
      <c r="G1049" s="1266"/>
      <c r="H1049" s="811"/>
      <c r="I1049" s="933"/>
    </row>
    <row r="1050" spans="1:9">
      <c r="A1050" s="272"/>
      <c r="B1050" s="272"/>
      <c r="C1050" s="272"/>
      <c r="I1050" s="1058"/>
    </row>
    <row r="1051" spans="1:9">
      <c r="A1051" s="272"/>
      <c r="B1051" s="272"/>
      <c r="C1051" s="272"/>
      <c r="D1051" s="274" t="s">
        <v>616</v>
      </c>
      <c r="I1051" s="1058"/>
    </row>
    <row r="1052" spans="1:9">
      <c r="A1052" s="272"/>
      <c r="B1052" s="272"/>
      <c r="C1052" s="272"/>
      <c r="D1052" s="272" t="s">
        <v>617</v>
      </c>
      <c r="I1052" s="1058"/>
    </row>
    <row r="1053" spans="1:9">
      <c r="A1053" s="272"/>
      <c r="B1053" s="272"/>
      <c r="C1053" s="272"/>
      <c r="D1053" s="274"/>
      <c r="I1053" s="1058"/>
    </row>
    <row r="1054" spans="1:9">
      <c r="A1054" s="272"/>
      <c r="B1054" s="338" t="s">
        <v>314</v>
      </c>
      <c r="C1054" s="272"/>
      <c r="D1054" s="1284" t="s">
        <v>618</v>
      </c>
      <c r="E1054" s="1284"/>
      <c r="F1054" s="1284"/>
      <c r="I1054" s="1058"/>
    </row>
    <row r="1055" spans="1:9">
      <c r="A1055" s="272"/>
      <c r="B1055" s="272"/>
      <c r="C1055" s="272"/>
      <c r="D1055" s="1284"/>
      <c r="E1055" s="1284"/>
      <c r="F1055" s="1284"/>
      <c r="I1055" s="1058"/>
    </row>
    <row r="1056" spans="1:9">
      <c r="A1056" s="272"/>
      <c r="B1056" s="272"/>
      <c r="C1056" s="272"/>
      <c r="D1056" s="1284"/>
      <c r="E1056" s="1284"/>
      <c r="F1056" s="1284"/>
      <c r="I1056" s="1058"/>
    </row>
    <row r="1057" spans="1:9">
      <c r="A1057" s="272"/>
      <c r="B1057" s="272"/>
      <c r="C1057" s="272"/>
      <c r="D1057" s="1284"/>
      <c r="E1057" s="1284"/>
      <c r="F1057" s="1284"/>
      <c r="I1057" s="1058"/>
    </row>
    <row r="1058" spans="1:9">
      <c r="A1058" s="272"/>
      <c r="B1058" s="272"/>
      <c r="C1058" s="272"/>
      <c r="I1058" s="1058"/>
    </row>
    <row r="1059" spans="1:9">
      <c r="A1059" s="272"/>
      <c r="B1059" s="272"/>
      <c r="C1059" s="272"/>
      <c r="D1059" s="274" t="s">
        <v>619</v>
      </c>
      <c r="I1059" s="1058"/>
    </row>
    <row r="1060" spans="1:9">
      <c r="A1060" s="272"/>
      <c r="B1060" s="272"/>
      <c r="C1060" s="272"/>
      <c r="D1060" s="272" t="s">
        <v>620</v>
      </c>
      <c r="I1060" s="1058"/>
    </row>
    <row r="1061" spans="1:9">
      <c r="A1061" s="272"/>
      <c r="B1061" s="272"/>
      <c r="C1061" s="272"/>
      <c r="I1061" s="1058"/>
    </row>
    <row r="1062" spans="1:9">
      <c r="A1062" s="272"/>
      <c r="B1062" s="338" t="s">
        <v>314</v>
      </c>
      <c r="C1062" s="272"/>
      <c r="D1062" s="272" t="s">
        <v>567</v>
      </c>
      <c r="I1062" s="1058"/>
    </row>
    <row r="1063" spans="1:9">
      <c r="A1063" s="272"/>
      <c r="B1063" s="272"/>
      <c r="C1063" s="272"/>
      <c r="I1063" s="1058"/>
    </row>
    <row r="1064" spans="1:9">
      <c r="A1064" s="272"/>
      <c r="B1064" s="338" t="s">
        <v>621</v>
      </c>
      <c r="C1064" s="272"/>
      <c r="D1064" s="1284" t="s">
        <v>622</v>
      </c>
      <c r="E1064" s="1284"/>
      <c r="F1064" s="1284"/>
      <c r="I1064" s="1058"/>
    </row>
    <row r="1065" spans="1:9">
      <c r="A1065" s="272"/>
      <c r="B1065" s="272"/>
      <c r="C1065" s="272"/>
      <c r="D1065" s="1284"/>
      <c r="E1065" s="1284"/>
      <c r="F1065" s="1284"/>
      <c r="I1065" s="1058"/>
    </row>
    <row r="1066" spans="1:9">
      <c r="A1066" s="272"/>
      <c r="B1066" s="272"/>
      <c r="C1066" s="272"/>
      <c r="D1066" s="1284"/>
      <c r="E1066" s="1284"/>
      <c r="F1066" s="1284"/>
      <c r="I1066" s="1058"/>
    </row>
    <row r="1067" spans="1:9">
      <c r="A1067" s="272"/>
      <c r="B1067" s="272"/>
      <c r="C1067" s="272"/>
      <c r="D1067" s="1284"/>
      <c r="E1067" s="1284"/>
      <c r="F1067" s="1284"/>
      <c r="I1067" s="1058"/>
    </row>
    <row r="1068" spans="1:9">
      <c r="A1068" s="272"/>
      <c r="B1068" s="272"/>
      <c r="C1068" s="272"/>
      <c r="D1068" s="1284"/>
      <c r="E1068" s="1284"/>
      <c r="F1068" s="1284"/>
      <c r="I1068" s="1058"/>
    </row>
    <row r="1069" spans="1:9">
      <c r="A1069" s="272"/>
      <c r="B1069" s="272"/>
      <c r="C1069" s="272"/>
      <c r="I1069" s="1058"/>
    </row>
    <row r="1070" spans="1:9">
      <c r="A1070" s="1266" t="s">
        <v>623</v>
      </c>
      <c r="B1070" s="1266"/>
      <c r="C1070" s="1266"/>
      <c r="D1070" s="1266"/>
      <c r="E1070" s="1266"/>
      <c r="F1070" s="1266"/>
      <c r="G1070" s="1266"/>
      <c r="H1070" s="811"/>
      <c r="I1070" s="933"/>
    </row>
    <row r="1071" spans="1:9">
      <c r="A1071" s="272"/>
      <c r="B1071" s="272"/>
      <c r="C1071" s="272"/>
      <c r="I1071" s="1058"/>
    </row>
    <row r="1072" spans="1:9">
      <c r="A1072" s="272"/>
      <c r="B1072" s="272"/>
      <c r="C1072" s="272"/>
      <c r="I1072" s="1058"/>
    </row>
    <row r="1073" spans="1:9">
      <c r="A1073" s="272"/>
      <c r="B1073" s="338" t="s">
        <v>309</v>
      </c>
      <c r="C1073" s="272"/>
      <c r="D1073" s="376" t="s">
        <v>624</v>
      </c>
      <c r="I1073" s="1058"/>
    </row>
    <row r="1074" spans="1:9">
      <c r="A1074" s="272"/>
      <c r="B1074" s="272"/>
      <c r="C1074" s="272"/>
      <c r="D1074" s="376" t="s">
        <v>625</v>
      </c>
      <c r="I1074" s="1058"/>
    </row>
    <row r="1075" spans="1:9">
      <c r="A1075" s="272"/>
      <c r="B1075" s="272"/>
      <c r="C1075" s="272"/>
      <c r="D1075" s="376"/>
      <c r="I1075" s="1058"/>
    </row>
    <row r="1076" spans="1:9">
      <c r="A1076" s="272"/>
      <c r="B1076" s="338" t="s">
        <v>309</v>
      </c>
      <c r="C1076" s="272"/>
      <c r="D1076" s="376" t="s">
        <v>626</v>
      </c>
      <c r="I1076" s="1058"/>
    </row>
    <row r="1077" spans="1:9">
      <c r="A1077" s="272"/>
      <c r="B1077" s="272"/>
      <c r="C1077" s="272"/>
      <c r="D1077" s="376" t="s">
        <v>627</v>
      </c>
      <c r="I1077" s="1058"/>
    </row>
    <row r="1078" spans="1:9">
      <c r="A1078" s="272"/>
      <c r="B1078" s="272"/>
      <c r="C1078" s="272"/>
      <c r="D1078" s="376"/>
      <c r="I1078" s="1058"/>
    </row>
    <row r="1079" spans="1:9">
      <c r="A1079" s="272"/>
      <c r="B1079" s="338" t="s">
        <v>314</v>
      </c>
      <c r="C1079" s="272"/>
      <c r="D1079" s="69" t="s">
        <v>628</v>
      </c>
      <c r="I1079" s="1058"/>
    </row>
    <row r="1080" spans="1:9">
      <c r="A1080" s="272"/>
      <c r="B1080" s="272"/>
      <c r="C1080" s="272"/>
      <c r="D1080" s="1217" t="s">
        <v>629</v>
      </c>
      <c r="E1080" s="1217"/>
      <c r="F1080" s="1217"/>
      <c r="I1080" s="1058"/>
    </row>
    <row r="1081" spans="1:9">
      <c r="A1081" s="272"/>
      <c r="B1081" s="272"/>
      <c r="C1081" s="272"/>
      <c r="D1081" s="1217"/>
      <c r="E1081" s="1217"/>
      <c r="F1081" s="1217"/>
      <c r="I1081" s="1058"/>
    </row>
    <row r="1082" spans="1:9">
      <c r="A1082" s="272"/>
      <c r="B1082" s="272"/>
      <c r="C1082" s="272"/>
      <c r="D1082" s="1217"/>
      <c r="E1082" s="1217"/>
      <c r="F1082" s="1217"/>
      <c r="I1082" s="1058"/>
    </row>
    <row r="1083" spans="1:9">
      <c r="A1083" s="272"/>
      <c r="B1083" s="272"/>
      <c r="C1083" s="272"/>
      <c r="D1083" s="1217"/>
      <c r="E1083" s="1217"/>
      <c r="F1083" s="1217"/>
      <c r="I1083" s="1058"/>
    </row>
    <row r="1084" spans="1:9">
      <c r="A1084" s="272"/>
      <c r="B1084" s="272"/>
      <c r="C1084" s="272"/>
      <c r="D1084" s="69" t="s">
        <v>630</v>
      </c>
      <c r="I1084" s="1058"/>
    </row>
    <row r="1085" spans="1:9">
      <c r="A1085" s="272"/>
      <c r="B1085" s="272"/>
      <c r="C1085" s="272"/>
      <c r="D1085" s="69"/>
      <c r="I1085" s="1058"/>
    </row>
    <row r="1086" spans="1:9">
      <c r="A1086" s="272"/>
      <c r="B1086" s="272"/>
      <c r="C1086" s="272"/>
      <c r="D1086" s="376" t="s">
        <v>631</v>
      </c>
      <c r="I1086" s="1058"/>
    </row>
    <row r="1087" spans="1:9">
      <c r="A1087" s="272"/>
      <c r="B1087" s="338" t="s">
        <v>314</v>
      </c>
      <c r="C1087" s="272"/>
      <c r="D1087" s="1283" t="s">
        <v>632</v>
      </c>
      <c r="E1087" s="1283"/>
      <c r="F1087" s="1283"/>
      <c r="I1087" s="1058"/>
    </row>
    <row r="1088" spans="1:9">
      <c r="A1088" s="272"/>
      <c r="B1088" s="272"/>
      <c r="C1088" s="272"/>
      <c r="D1088" s="1283"/>
      <c r="E1088" s="1283"/>
      <c r="F1088" s="1283"/>
      <c r="I1088" s="1058"/>
    </row>
    <row r="1089" spans="1:9">
      <c r="A1089" s="272"/>
      <c r="B1089" s="272"/>
      <c r="C1089" s="272"/>
      <c r="D1089" s="1283"/>
      <c r="E1089" s="1283"/>
      <c r="F1089" s="1283"/>
      <c r="I1089" s="1058"/>
    </row>
    <row r="1090" spans="1:9">
      <c r="A1090" s="272"/>
      <c r="B1090" s="272"/>
      <c r="C1090" s="272"/>
      <c r="D1090" s="1283"/>
      <c r="E1090" s="1283"/>
      <c r="F1090" s="1283"/>
      <c r="I1090" s="1058"/>
    </row>
    <row r="1091" spans="1:9">
      <c r="A1091" s="272"/>
      <c r="B1091" s="272"/>
      <c r="C1091" s="272"/>
      <c r="D1091" s="1283"/>
      <c r="E1091" s="1283"/>
      <c r="F1091" s="1283"/>
      <c r="I1091" s="1058"/>
    </row>
    <row r="1092" spans="1:9">
      <c r="A1092" s="272"/>
      <c r="B1092" s="272"/>
      <c r="C1092" s="272"/>
      <c r="D1092" s="376" t="s">
        <v>633</v>
      </c>
      <c r="I1092" s="1058"/>
    </row>
    <row r="1093" spans="1:9">
      <c r="A1093" s="272"/>
      <c r="B1093" s="272"/>
      <c r="C1093" s="272"/>
      <c r="I1093" s="1058"/>
    </row>
    <row r="1094" spans="1:9">
      <c r="A1094" s="272"/>
      <c r="B1094" s="338" t="s">
        <v>314</v>
      </c>
      <c r="C1094" s="272"/>
      <c r="D1094" s="1233" t="s">
        <v>634</v>
      </c>
      <c r="E1094" s="1233"/>
      <c r="F1094" s="1233"/>
      <c r="I1094" s="1058"/>
    </row>
    <row r="1095" spans="1:9">
      <c r="A1095" s="272"/>
      <c r="B1095" s="272"/>
      <c r="C1095" s="272"/>
      <c r="D1095" s="1233"/>
      <c r="E1095" s="1233"/>
      <c r="F1095" s="1233"/>
      <c r="I1095" s="1058"/>
    </row>
    <row r="1096" spans="1:9">
      <c r="A1096" s="272"/>
      <c r="B1096" s="272"/>
      <c r="C1096" s="272"/>
      <c r="D1096" s="1233"/>
      <c r="E1096" s="1233"/>
      <c r="F1096" s="1233"/>
      <c r="I1096" s="1058"/>
    </row>
    <row r="1097" spans="1:9">
      <c r="A1097" s="272"/>
      <c r="B1097" s="272"/>
      <c r="C1097" s="272"/>
      <c r="I1097" s="1058"/>
    </row>
    <row r="1098" spans="1:9">
      <c r="A1098" s="1266" t="s">
        <v>635</v>
      </c>
      <c r="B1098" s="1266"/>
      <c r="C1098" s="1266"/>
      <c r="D1098" s="1266"/>
      <c r="E1098" s="1266"/>
      <c r="F1098" s="1266"/>
      <c r="G1098" s="1266"/>
      <c r="H1098" s="811"/>
      <c r="I1098" s="933"/>
    </row>
    <row r="1099" spans="1:9">
      <c r="A1099" s="272"/>
      <c r="B1099" s="272"/>
      <c r="C1099" s="272"/>
      <c r="I1099" s="1058"/>
    </row>
    <row r="1100" spans="1:9">
      <c r="A1100" s="272"/>
      <c r="B1100" s="272"/>
      <c r="C1100" s="272"/>
      <c r="I1100" s="1058"/>
    </row>
    <row r="1101" spans="1:9" ht="12.75" customHeight="1">
      <c r="A1101" s="272"/>
      <c r="B1101" s="338" t="s">
        <v>314</v>
      </c>
      <c r="C1101" s="272"/>
      <c r="D1101" s="1285" t="s">
        <v>636</v>
      </c>
      <c r="E1101" s="1285"/>
      <c r="F1101" s="1285"/>
      <c r="I1101" s="1058"/>
    </row>
    <row r="1102" spans="1:9">
      <c r="A1102" s="272"/>
      <c r="B1102" s="272"/>
      <c r="C1102" s="272"/>
      <c r="D1102" s="1285"/>
      <c r="E1102" s="1285"/>
      <c r="F1102" s="1285"/>
      <c r="I1102" s="1058"/>
    </row>
    <row r="1103" spans="1:9">
      <c r="A1103" s="272"/>
      <c r="B1103" s="272"/>
      <c r="C1103" s="272"/>
      <c r="D1103" s="1286" t="s">
        <v>637</v>
      </c>
      <c r="E1103" s="1217"/>
      <c r="F1103" s="1217"/>
      <c r="I1103" s="1058"/>
    </row>
    <row r="1104" spans="1:9">
      <c r="A1104" s="272"/>
      <c r="B1104" s="272"/>
      <c r="C1104" s="272"/>
      <c r="D1104" s="376"/>
      <c r="I1104" s="1058"/>
    </row>
    <row r="1105" spans="1:9">
      <c r="A1105" s="272"/>
      <c r="B1105" s="338" t="s">
        <v>314</v>
      </c>
      <c r="C1105" s="272"/>
      <c r="D1105" s="1283" t="s">
        <v>638</v>
      </c>
      <c r="E1105" s="1283"/>
      <c r="F1105" s="1283"/>
      <c r="I1105" s="1058"/>
    </row>
    <row r="1106" spans="1:9">
      <c r="A1106" s="272"/>
      <c r="B1106" s="272"/>
      <c r="C1106" s="272"/>
      <c r="D1106" s="1283"/>
      <c r="E1106" s="1283"/>
      <c r="F1106" s="1283"/>
      <c r="I1106" s="1058"/>
    </row>
    <row r="1107" spans="1:9">
      <c r="A1107" s="272"/>
      <c r="B1107" s="272"/>
      <c r="C1107" s="272"/>
      <c r="D1107" s="376"/>
      <c r="I1107" s="1058"/>
    </row>
    <row r="1108" spans="1:9">
      <c r="A1108" s="272"/>
      <c r="B1108" s="338" t="s">
        <v>314</v>
      </c>
      <c r="C1108" s="272"/>
      <c r="D1108" s="1283" t="s">
        <v>639</v>
      </c>
      <c r="E1108" s="1283"/>
      <c r="F1108" s="1283"/>
      <c r="I1108" s="1058"/>
    </row>
    <row r="1109" spans="1:9">
      <c r="A1109" s="272"/>
      <c r="B1109" s="272"/>
      <c r="C1109" s="272"/>
      <c r="D1109" s="1283"/>
      <c r="E1109" s="1283"/>
      <c r="F1109" s="1283"/>
      <c r="I1109" s="1058"/>
    </row>
    <row r="1110" spans="1:9">
      <c r="A1110" s="272"/>
      <c r="B1110" s="272"/>
      <c r="C1110" s="272"/>
      <c r="D1110" s="1283"/>
      <c r="E1110" s="1283"/>
      <c r="F1110" s="1283"/>
      <c r="I1110" s="1058"/>
    </row>
    <row r="1111" spans="1:9">
      <c r="A1111" s="272"/>
      <c r="B1111" s="272"/>
      <c r="C1111" s="272"/>
      <c r="D1111" s="1283"/>
      <c r="E1111" s="1283"/>
      <c r="F1111" s="1283"/>
      <c r="I1111" s="1058"/>
    </row>
    <row r="1112" spans="1:9">
      <c r="A1112" s="272"/>
      <c r="B1112" s="272"/>
      <c r="C1112" s="272"/>
      <c r="D1112" s="1283"/>
      <c r="E1112" s="1283"/>
      <c r="F1112" s="1283"/>
      <c r="I1112" s="1058"/>
    </row>
    <row r="1113" spans="1:9">
      <c r="A1113" s="272"/>
      <c r="B1113" s="272"/>
      <c r="C1113" s="272"/>
      <c r="D1113" s="1283"/>
      <c r="E1113" s="1283"/>
      <c r="F1113" s="1283"/>
      <c r="I1113" s="1058"/>
    </row>
    <row r="1114" spans="1:9" ht="12.5">
      <c r="A1114" s="272"/>
      <c r="B1114" s="272"/>
      <c r="C1114" s="272"/>
      <c r="D1114" s="376"/>
      <c r="I1114" s="335"/>
    </row>
    <row r="1115" spans="1:9">
      <c r="A1115" s="272"/>
      <c r="B1115" s="338" t="s">
        <v>314</v>
      </c>
      <c r="C1115" s="272"/>
      <c r="D1115" s="1283" t="s">
        <v>640</v>
      </c>
      <c r="E1115" s="1283"/>
      <c r="F1115" s="1283"/>
      <c r="I1115" s="1058"/>
    </row>
    <row r="1116" spans="1:9">
      <c r="A1116" s="272"/>
      <c r="B1116" s="272"/>
      <c r="C1116" s="272"/>
      <c r="D1116" s="1283"/>
      <c r="E1116" s="1283"/>
      <c r="F1116" s="1283"/>
      <c r="I1116" s="1058"/>
    </row>
    <row r="1117" spans="1:9">
      <c r="A1117" s="272"/>
      <c r="B1117" s="272"/>
      <c r="C1117" s="272"/>
      <c r="D1117" s="1283"/>
      <c r="E1117" s="1283"/>
      <c r="F1117" s="1283"/>
      <c r="I1117" s="1058"/>
    </row>
    <row r="1118" spans="1:9">
      <c r="A1118" s="272"/>
      <c r="B1118" s="272"/>
      <c r="C1118" s="272"/>
      <c r="D1118" s="376"/>
      <c r="I1118" s="1058"/>
    </row>
    <row r="1119" spans="1:9">
      <c r="A1119" s="272"/>
      <c r="B1119" s="338" t="s">
        <v>314</v>
      </c>
      <c r="C1119" s="272"/>
      <c r="D1119" s="1223" t="s">
        <v>641</v>
      </c>
      <c r="E1119" s="1223"/>
      <c r="F1119" s="1223"/>
      <c r="I1119" s="1058"/>
    </row>
    <row r="1120" spans="1:9">
      <c r="A1120" s="272"/>
      <c r="B1120" s="272"/>
      <c r="C1120" s="272"/>
      <c r="D1120" s="1223"/>
      <c r="E1120" s="1223"/>
      <c r="F1120" s="1223"/>
      <c r="I1120" s="1058"/>
    </row>
    <row r="1121" spans="1:9">
      <c r="A1121" s="272"/>
      <c r="B1121" s="272"/>
      <c r="C1121" s="272"/>
      <c r="D1121" s="1223"/>
      <c r="E1121" s="1223"/>
      <c r="F1121" s="1223"/>
      <c r="I1121" s="1058"/>
    </row>
    <row r="1122" spans="1:9">
      <c r="A1122" s="272"/>
      <c r="B1122" s="272"/>
      <c r="C1122" s="272"/>
      <c r="D1122" s="1034"/>
      <c r="E1122" s="1034"/>
      <c r="F1122" s="1034"/>
      <c r="I1122" s="1058"/>
    </row>
    <row r="1123" spans="1:9" ht="15.75" customHeight="1">
      <c r="A1123" s="272"/>
      <c r="B1123" s="338" t="s">
        <v>314</v>
      </c>
      <c r="C1123" s="272"/>
      <c r="D1123" s="1217" t="s">
        <v>642</v>
      </c>
      <c r="E1123" s="1217"/>
      <c r="F1123" s="1217"/>
      <c r="I1123" s="1058"/>
    </row>
    <row r="1124" spans="1:9">
      <c r="A1124" s="272"/>
      <c r="B1124" s="272"/>
      <c r="C1124" s="272"/>
      <c r="D1124" s="1217"/>
      <c r="E1124" s="1217"/>
      <c r="F1124" s="1217"/>
      <c r="I1124" s="1058"/>
    </row>
    <row r="1125" spans="1:9">
      <c r="A1125" s="272"/>
      <c r="B1125" s="272"/>
      <c r="C1125" s="272"/>
      <c r="D1125" s="1217"/>
      <c r="E1125" s="1217"/>
      <c r="F1125" s="1217"/>
      <c r="I1125" s="1058"/>
    </row>
    <row r="1126" spans="1:9">
      <c r="A1126" s="272"/>
      <c r="B1126" s="272"/>
      <c r="C1126" s="272"/>
      <c r="D1126" s="1217"/>
      <c r="E1126" s="1217"/>
      <c r="F1126" s="1217"/>
      <c r="I1126" s="1058"/>
    </row>
    <row r="1127" spans="1:9">
      <c r="A1127" s="272"/>
      <c r="B1127" s="272"/>
      <c r="C1127" s="272"/>
      <c r="D1127" s="1034"/>
      <c r="E1127" s="1034"/>
      <c r="F1127" s="1034"/>
      <c r="I1127" s="1058"/>
    </row>
    <row r="1128" spans="1:9" ht="12.5">
      <c r="A1128" s="272"/>
      <c r="B1128" s="272"/>
      <c r="C1128" s="272"/>
      <c r="I1128" s="939"/>
    </row>
    <row r="1129" spans="1:9">
      <c r="A1129" s="272"/>
      <c r="B1129" s="272"/>
      <c r="C1129" s="272"/>
      <c r="I1129" s="1058"/>
    </row>
    <row r="1130" spans="1:9">
      <c r="A1130" s="272"/>
      <c r="B1130" s="272"/>
      <c r="C1130" s="272"/>
      <c r="I1130" s="1058"/>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48"/>
      <c r="H1541" s="1248"/>
      <c r="I1541" s="124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0" workbookViewId="0">
      <selection activeCell="AZ718" sqref="AZ718"/>
    </sheetView>
  </sheetViews>
  <sheetFormatPr defaultColWidth="0" defaultRowHeight="0" customHeight="1" zeroHeight="1"/>
  <cols>
    <col min="1" max="47" width="2.7265625" customWidth="1"/>
    <col min="48" max="50" width="3.7265625" customWidth="1"/>
    <col min="51" max="51" width="4.7265625" customWidth="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59"/>
      <c r="AS1" s="814">
        <v>4</v>
      </c>
      <c r="BD1" s="2" t="s">
        <v>643</v>
      </c>
      <c r="BE1" s="2"/>
      <c r="BF1" s="2"/>
    </row>
    <row r="2" spans="1:58" ht="13" customHeight="1">
      <c r="BD2" s="2" t="s">
        <v>644</v>
      </c>
      <c r="BE2" s="2" t="s">
        <v>645</v>
      </c>
      <c r="BF2" s="2" t="s">
        <v>646</v>
      </c>
    </row>
    <row r="3" spans="1:58" ht="13" customHeight="1">
      <c r="BD3" s="2" t="s">
        <v>647</v>
      </c>
      <c r="BE3" t="str">
        <f>AC220</f>
        <v>Inland (Fresno, Imperial, Kern, Kings, Madera, Merced, Riverside, San Bernardino, Stanislaus, and Tulare Counties)</v>
      </c>
    </row>
    <row r="4" spans="1:58" ht="13" customHeight="1">
      <c r="BD4" s="2" t="s">
        <v>648</v>
      </c>
      <c r="BE4" s="1023"/>
    </row>
    <row r="5" spans="1:58" ht="13" customHeight="1">
      <c r="BD5" s="2" t="s">
        <v>649</v>
      </c>
      <c r="BE5">
        <f>SUMIF($AC$718:$AC$752,"&lt;=20%",$G$718:G$752)</f>
        <v>0</v>
      </c>
      <c r="BF5" s="2" t="s">
        <v>650</v>
      </c>
    </row>
    <row r="6" spans="1:58" ht="13" customHeight="1">
      <c r="BD6" s="2" t="s">
        <v>651</v>
      </c>
      <c r="BE6" s="1026">
        <f>SUMIF($AC$718:$AC$752,"&lt;=25%",$G$718:G$752)-SUM($BE$5:BE5)</f>
        <v>0</v>
      </c>
    </row>
    <row r="7" spans="1:58" ht="13" customHeight="1">
      <c r="BD7" s="1024" t="s">
        <v>652</v>
      </c>
      <c r="BE7" s="1026">
        <f>SUMIF($AC$718:$AC$752,"&lt;=30%",$G$718:G$752)-SUM($BE$5:BE6)</f>
        <v>24</v>
      </c>
    </row>
    <row r="8" spans="1:58" ht="26.25" customHeight="1">
      <c r="A8" s="1768" t="s">
        <v>653</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1067"/>
      <c r="AV8" s="1067"/>
      <c r="AW8" s="1067"/>
      <c r="AX8" s="1067"/>
      <c r="AY8" s="1067"/>
      <c r="BD8" s="2" t="s">
        <v>654</v>
      </c>
      <c r="BE8" s="1026">
        <f>SUMIF($AC$718:$AC$752,"&lt;=35%",$G$718:G$752)-SUM($BE$5:BE7)</f>
        <v>0</v>
      </c>
    </row>
    <row r="9" spans="1:58" ht="13" customHeight="1">
      <c r="A9" s="1769" t="s">
        <v>655</v>
      </c>
      <c r="B9" s="1769"/>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066"/>
      <c r="AV9" s="1066"/>
      <c r="AW9" s="1066"/>
      <c r="AX9" s="1066"/>
      <c r="AY9" s="1066"/>
      <c r="BD9" s="1025" t="s">
        <v>656</v>
      </c>
      <c r="BE9" s="1026">
        <f>SUMIF($AC$718:$AC$752,"&lt;=40%",$G$718:G$752)-SUM($BE$5:BE8)</f>
        <v>8</v>
      </c>
    </row>
    <row r="10" spans="1:58" ht="13" customHeight="1">
      <c r="A10" s="1769" t="s">
        <v>657</v>
      </c>
      <c r="B10" s="1769"/>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066"/>
      <c r="AV10" s="1066"/>
      <c r="AW10" s="1066"/>
      <c r="AX10" s="1066"/>
      <c r="AY10" s="1066"/>
      <c r="BD10" s="2" t="s">
        <v>658</v>
      </c>
      <c r="BE10" s="1026">
        <f>SUMIF($AC$718:$AC$752,"&lt;=45%",$G$718:G$752)-SUM($BE$5:BE9)</f>
        <v>0</v>
      </c>
    </row>
    <row r="11" spans="1:58" ht="13" customHeight="1">
      <c r="A11" s="1769" t="s">
        <v>659</v>
      </c>
      <c r="B11" s="1769"/>
      <c r="C11" s="1769"/>
      <c r="D11" s="1769"/>
      <c r="E11" s="1769"/>
      <c r="F11" s="1769"/>
      <c r="G11" s="1769"/>
      <c r="H11" s="1769"/>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066"/>
      <c r="AV11" s="1066"/>
      <c r="AW11" s="1066"/>
      <c r="AX11" s="1066"/>
      <c r="AY11" s="1066"/>
      <c r="BD11" s="1024" t="s">
        <v>660</v>
      </c>
      <c r="BE11" s="1026">
        <f>SUMIF($AC$718:$AC$752,"&lt;=50%",$G$718:G$752)-SUM($BE$5:BE10)</f>
        <v>32</v>
      </c>
    </row>
    <row r="12" spans="1:58" ht="13" customHeight="1">
      <c r="A12" s="1770" t="s">
        <v>661</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068"/>
      <c r="AV12" s="1068"/>
      <c r="AW12" s="1068"/>
      <c r="AX12" s="1068"/>
      <c r="AY12" s="1068"/>
      <c r="BD12" s="2" t="s">
        <v>662</v>
      </c>
      <c r="BE12" s="1026">
        <f>SUMIF($AC$718:$AC$752,"&lt;=55%",$G$718:G$752)-SUM($BE$5:BE11)</f>
        <v>0</v>
      </c>
    </row>
    <row r="13" spans="1:58" ht="13" customHeight="1">
      <c r="A13" s="1227" t="s">
        <v>663</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227"/>
      <c r="AM13" s="1227"/>
      <c r="AN13" s="1227"/>
      <c r="AO13" s="1227"/>
      <c r="AP13" s="1227"/>
      <c r="AQ13" s="1227"/>
      <c r="AR13" s="1227"/>
      <c r="AS13" s="1227"/>
      <c r="AT13" s="1227"/>
      <c r="AU13" s="710"/>
      <c r="AV13" s="710"/>
      <c r="AW13" s="710"/>
      <c r="AX13" s="710"/>
      <c r="AY13" s="710"/>
      <c r="BD13" s="1025" t="s">
        <v>664</v>
      </c>
      <c r="BE13" s="1026">
        <f>SUMIF($AC$718:$AC$752,"&lt;=60%",$G$718:G$752)-SUM($BE$5:BE12)</f>
        <v>0</v>
      </c>
    </row>
    <row r="14" spans="1:58" ht="13" customHeigh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1227"/>
      <c r="AN14" s="1227"/>
      <c r="AO14" s="1227"/>
      <c r="AP14" s="1227"/>
      <c r="AQ14" s="1227"/>
      <c r="AR14" s="1227"/>
      <c r="AS14" s="1227"/>
      <c r="AT14" s="1227"/>
      <c r="AU14" s="710"/>
      <c r="AV14" s="710"/>
      <c r="AW14" s="710"/>
      <c r="AX14" s="710"/>
      <c r="AY14" s="710"/>
      <c r="BD14" s="1024" t="s">
        <v>665</v>
      </c>
      <c r="BE14" s="1026">
        <f>SUMIF($AC$718:$AC$752,"&lt;=70%",$G$718:G$752)-SUM($BE$5:BE13)</f>
        <v>0</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5" t="s">
        <v>666</v>
      </c>
      <c r="BE15" s="1026">
        <f>SUMIF($AC$718:$AC$752,"&lt;=80%",$G$718:G$752)-SUM($BE$5:BE14)</f>
        <v>15</v>
      </c>
    </row>
    <row r="16" spans="1:58" ht="13" customHeight="1">
      <c r="A16" s="38" t="s">
        <v>667</v>
      </c>
      <c r="C16" s="2"/>
      <c r="D16" s="2"/>
      <c r="E16" s="2"/>
      <c r="F16" s="2"/>
      <c r="G16" s="2"/>
      <c r="H16" s="1489" t="s">
        <v>668</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BD16" s="1025" t="s">
        <v>77</v>
      </c>
      <c r="BE16" s="1026" t="str">
        <f>Application!H18</f>
        <v>Crescent Meadows</v>
      </c>
    </row>
    <row r="17" spans="1:58" ht="13" customHeight="1">
      <c r="BD17" s="1024" t="s">
        <v>669</v>
      </c>
      <c r="BE17" s="1026">
        <f>Application!AA934</f>
        <v>0</v>
      </c>
    </row>
    <row r="18" spans="1:58" ht="13" customHeight="1">
      <c r="A18" s="38" t="s">
        <v>670</v>
      </c>
      <c r="C18" s="2"/>
      <c r="D18" s="2"/>
      <c r="E18" s="2"/>
      <c r="F18" s="2"/>
      <c r="G18" s="2"/>
      <c r="H18" s="1471" t="s">
        <v>671</v>
      </c>
      <c r="I18" s="1471"/>
      <c r="J18" s="1471"/>
      <c r="K18" s="1471"/>
      <c r="L18" s="1471"/>
      <c r="M18" s="1471"/>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BD18" s="1025" t="s">
        <v>672</v>
      </c>
      <c r="BE18" s="1026">
        <f>'CalHFA Addendum'!N11</f>
        <v>0</v>
      </c>
    </row>
    <row r="19" spans="1:58" ht="13" customHeight="1">
      <c r="BD19" s="1024" t="s">
        <v>673</v>
      </c>
      <c r="BE19" s="1026">
        <f>Application!M26</f>
        <v>1445633</v>
      </c>
    </row>
    <row r="20" spans="1:58" ht="13" customHeight="1">
      <c r="A20" s="1771" t="s">
        <v>674</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71"/>
      <c r="AS20" s="1771"/>
      <c r="AT20" s="1771"/>
      <c r="AU20" s="1069"/>
      <c r="AV20" s="1069"/>
      <c r="AW20" s="1069"/>
      <c r="AX20" s="1069"/>
      <c r="AY20" s="1069"/>
      <c r="BD20" s="1025" t="s">
        <v>675</v>
      </c>
      <c r="BE20" s="1026">
        <f>Application!M27</f>
        <v>0</v>
      </c>
    </row>
    <row r="21" spans="1:58" ht="13" customHeight="1">
      <c r="A21" s="1773" t="s">
        <v>676</v>
      </c>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1071"/>
      <c r="AN21" s="1071"/>
      <c r="AO21" s="1071"/>
      <c r="AP21" s="1071"/>
      <c r="AQ21" s="1071"/>
      <c r="AR21" s="1071"/>
      <c r="AS21" s="1071"/>
      <c r="AT21" s="1071"/>
      <c r="AU21" s="1071"/>
      <c r="AV21" s="1071"/>
      <c r="AW21" s="1071"/>
      <c r="AX21" s="1071"/>
      <c r="AY21" s="1071"/>
      <c r="BD21" s="1024" t="s">
        <v>677</v>
      </c>
      <c r="BE21" s="1026">
        <f>Application!AM554</f>
        <v>19904951</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5" t="s">
        <v>678</v>
      </c>
      <c r="BE22" s="1026">
        <f>'Sources and Uses Budget'!B105</f>
        <v>38600081</v>
      </c>
      <c r="BF22" s="2" t="s">
        <v>679</v>
      </c>
    </row>
    <row r="23" spans="1:58" ht="13" customHeight="1">
      <c r="A23" s="1285" t="s">
        <v>680</v>
      </c>
      <c r="B23" s="1285"/>
      <c r="C23" s="1285"/>
      <c r="D23" s="1285"/>
      <c r="E23" s="1285"/>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4"/>
      <c r="AV23" s="14"/>
      <c r="AW23" s="14"/>
      <c r="AX23" s="14"/>
      <c r="AY23" s="14"/>
      <c r="AZ23" s="14"/>
      <c r="BD23" s="1024" t="s">
        <v>681</v>
      </c>
      <c r="BE23" s="1026">
        <f>'Sources and Uses Budget'!B4</f>
        <v>975794</v>
      </c>
    </row>
    <row r="24" spans="1:58" ht="13" customHeight="1">
      <c r="A24" s="1285"/>
      <c r="B24" s="1285"/>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c r="AL24" s="1285"/>
      <c r="AM24" s="1285"/>
      <c r="AN24" s="1285"/>
      <c r="AO24" s="1285"/>
      <c r="AP24" s="1285"/>
      <c r="AQ24" s="1285"/>
      <c r="AR24" s="1285"/>
      <c r="AS24" s="1285"/>
      <c r="AT24" s="1285"/>
      <c r="AU24" s="14"/>
      <c r="AV24" s="14"/>
      <c r="AW24" s="14"/>
      <c r="AX24" s="14"/>
      <c r="AY24" s="14"/>
      <c r="AZ24" s="14"/>
      <c r="BD24" s="1025" t="s">
        <v>682</v>
      </c>
      <c r="BE24" s="1026">
        <f>Application!AG450</f>
        <v>68000.5</v>
      </c>
    </row>
    <row r="25" spans="1:58" ht="13"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c r="BD25" s="1024" t="s">
        <v>683</v>
      </c>
      <c r="BE25" s="1026" t="str">
        <f>Application!D208</f>
        <v>40%/60% Average Income</v>
      </c>
    </row>
    <row r="26" spans="1:58" ht="13" customHeight="1">
      <c r="A26" s="2"/>
      <c r="C26" s="2"/>
      <c r="D26" s="2"/>
      <c r="E26" s="2"/>
      <c r="F26" s="2"/>
      <c r="G26" s="2"/>
      <c r="H26" s="2"/>
      <c r="I26" s="2"/>
      <c r="J26" s="2"/>
      <c r="K26" s="2"/>
      <c r="L26" s="2"/>
      <c r="M26" s="1499">
        <f>'Basis &amp; Credits'!AB56</f>
        <v>1445633</v>
      </c>
      <c r="N26" s="1499"/>
      <c r="O26" s="1499"/>
      <c r="P26" s="1499"/>
      <c r="Q26" s="1499"/>
      <c r="R26" s="2" t="s">
        <v>684</v>
      </c>
      <c r="S26" s="2"/>
      <c r="T26" s="2"/>
      <c r="U26" s="2"/>
      <c r="V26" s="2"/>
      <c r="W26" s="2"/>
      <c r="X26" s="2"/>
      <c r="Y26" s="2"/>
      <c r="Z26" s="2"/>
      <c r="AF26" s="2"/>
      <c r="AG26" s="2"/>
      <c r="AH26" s="2"/>
      <c r="AI26" s="2"/>
      <c r="AJ26" s="2"/>
      <c r="AK26" s="2"/>
      <c r="BD26" s="1025" t="s">
        <v>685</v>
      </c>
      <c r="BE26" s="1026" t="b">
        <f>Application!M356="Yes"</f>
        <v>0</v>
      </c>
    </row>
    <row r="27" spans="1:58" ht="13" customHeight="1">
      <c r="A27" s="2"/>
      <c r="C27" s="2"/>
      <c r="D27" s="2"/>
      <c r="E27" s="2"/>
      <c r="F27" s="2"/>
      <c r="G27" s="2"/>
      <c r="H27" s="2"/>
      <c r="I27" s="2"/>
      <c r="J27" s="2"/>
      <c r="K27" s="2"/>
      <c r="L27" s="2"/>
      <c r="M27" s="1310">
        <f>'Basis &amp; Credits'!AB78</f>
        <v>0</v>
      </c>
      <c r="N27" s="1310"/>
      <c r="O27" s="1310"/>
      <c r="P27" s="1310"/>
      <c r="Q27" s="1310"/>
      <c r="R27" s="2" t="s">
        <v>686</v>
      </c>
      <c r="S27" s="2"/>
      <c r="T27" s="2"/>
      <c r="U27" s="2"/>
      <c r="V27" s="2"/>
      <c r="W27" s="2"/>
      <c r="X27" s="2"/>
      <c r="Y27" s="2"/>
      <c r="Z27" s="2"/>
      <c r="AF27" s="2"/>
      <c r="AG27" s="2"/>
      <c r="AH27" s="2"/>
      <c r="AI27" s="2"/>
      <c r="AJ27" s="2"/>
      <c r="AK27" s="2"/>
      <c r="BD27" s="1024" t="s">
        <v>687</v>
      </c>
      <c r="BE27" s="1026" t="b">
        <f>Application!M355="Yes"</f>
        <v>1</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5" t="s">
        <v>688</v>
      </c>
      <c r="BE28" s="1026" t="b">
        <f>Application!M357="Yes"</f>
        <v>0</v>
      </c>
    </row>
    <row r="29" spans="1:58" ht="13" customHeight="1">
      <c r="A29" s="1487" t="s">
        <v>689</v>
      </c>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BD29" s="1024" t="s">
        <v>690</v>
      </c>
      <c r="BE29" s="1026" t="b">
        <f>Application!M358="Yes"</f>
        <v>0</v>
      </c>
    </row>
    <row r="30" spans="1:58" ht="13" customHeight="1">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1487"/>
      <c r="AO30" s="1487"/>
      <c r="AP30" s="1487"/>
      <c r="AQ30" s="1487"/>
      <c r="AR30" s="1487"/>
      <c r="AS30" s="1487"/>
      <c r="AT30" s="1487"/>
      <c r="AZ30" s="15"/>
      <c r="BD30" s="1025" t="s">
        <v>691</v>
      </c>
      <c r="BE30" s="1026" t="b">
        <f>Application!AJ355="Yes"</f>
        <v>0</v>
      </c>
    </row>
    <row r="31" spans="1:58" ht="13" customHeight="1">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15"/>
      <c r="AV31" s="15"/>
      <c r="AW31" s="15"/>
      <c r="AX31" s="15"/>
      <c r="AY31" s="15"/>
      <c r="AZ31" s="15"/>
      <c r="BD31" s="1024" t="s">
        <v>692</v>
      </c>
      <c r="BE31" s="1026" t="str">
        <f>Application!D211</f>
        <v>Seniors</v>
      </c>
    </row>
    <row r="32" spans="1:58" ht="13" customHeight="1">
      <c r="A32" s="1043"/>
      <c r="C32" s="1043"/>
      <c r="D32" s="1043"/>
      <c r="E32" s="1043"/>
      <c r="F32" s="1043"/>
      <c r="G32" s="1043"/>
      <c r="H32" s="1043"/>
      <c r="I32" s="1043"/>
      <c r="J32" s="1043"/>
      <c r="K32" s="1043"/>
      <c r="L32" s="1043"/>
      <c r="M32" s="1043"/>
      <c r="N32" s="1043"/>
      <c r="O32" s="1043"/>
      <c r="P32" s="1043"/>
      <c r="Q32" s="1043"/>
      <c r="R32" s="1043"/>
      <c r="S32" s="1043"/>
      <c r="T32" s="1043"/>
      <c r="U32" s="1043"/>
      <c r="V32" s="1043"/>
      <c r="W32" s="1043"/>
      <c r="X32" s="1043"/>
      <c r="Y32" s="1043"/>
      <c r="Z32" s="1043"/>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5" t="s">
        <v>693</v>
      </c>
      <c r="BE32" s="1026">
        <f>IF(ISNUMBER(Application!W465),W465,0)</f>
        <v>24</v>
      </c>
    </row>
    <row r="33" spans="1:57" ht="13" customHeight="1">
      <c r="A33" s="1043" t="s">
        <v>694</v>
      </c>
      <c r="C33" s="1043"/>
      <c r="D33" s="1043"/>
      <c r="E33" s="1043"/>
      <c r="F33" s="1043"/>
      <c r="G33" s="1043"/>
      <c r="H33" s="1043"/>
      <c r="I33" s="1043"/>
      <c r="J33" s="1043"/>
      <c r="K33" s="1043"/>
      <c r="L33" s="1043"/>
      <c r="M33" s="1043"/>
      <c r="N33" s="1043"/>
      <c r="O33" s="1353" t="s">
        <v>695</v>
      </c>
      <c r="P33" s="1353"/>
      <c r="Q33" s="1772" t="s">
        <v>696</v>
      </c>
      <c r="R33" s="1772"/>
      <c r="S33" s="1772"/>
      <c r="T33" s="1772"/>
      <c r="U33" s="1772"/>
      <c r="V33" s="1772"/>
      <c r="W33" s="1772"/>
      <c r="X33" s="1772"/>
      <c r="Y33" s="1772"/>
      <c r="Z33" s="1772"/>
      <c r="AA33" s="1772"/>
      <c r="AB33" s="1772"/>
      <c r="AC33" s="1772"/>
      <c r="AD33" s="1772"/>
      <c r="AE33" s="1772"/>
      <c r="AF33" s="1772"/>
      <c r="AG33" s="1772"/>
      <c r="AH33" s="1772"/>
      <c r="AI33" s="1772"/>
      <c r="AJ33" s="1772"/>
      <c r="AK33" s="1772"/>
      <c r="AL33" s="1772"/>
      <c r="AM33" s="1772"/>
      <c r="AN33" s="1772"/>
      <c r="AO33" s="1772"/>
      <c r="AP33" s="1772"/>
      <c r="AQ33" s="1772"/>
      <c r="AR33" s="1772"/>
      <c r="AS33" s="1772"/>
      <c r="AT33" s="1772"/>
      <c r="AU33" s="15"/>
      <c r="AV33" s="15"/>
      <c r="AW33" s="15"/>
      <c r="AX33" s="15"/>
      <c r="AY33" s="15"/>
      <c r="BD33" s="1024" t="s">
        <v>697</v>
      </c>
      <c r="BE33" s="1026" t="str">
        <f>Application!D220</f>
        <v>Central Valley Region: Fresno, Kern, Kings, Madera, Merced, San Joaquin, Stanislaus, and Tulare Counties</v>
      </c>
    </row>
    <row r="34" spans="1:57" ht="13" customHeight="1">
      <c r="A34" s="1487" t="s">
        <v>698</v>
      </c>
      <c r="B34" s="1487"/>
      <c r="C34" s="1487"/>
      <c r="D34" s="1487"/>
      <c r="E34" s="1487"/>
      <c r="F34" s="1487"/>
      <c r="G34" s="1487"/>
      <c r="H34" s="1487"/>
      <c r="I34" s="1487"/>
      <c r="J34" s="1487"/>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15"/>
      <c r="AV34" s="15"/>
      <c r="AW34" s="15"/>
      <c r="AX34" s="15"/>
      <c r="AY34" s="15"/>
      <c r="AZ34" s="15"/>
      <c r="BD34" s="1025" t="s">
        <v>699</v>
      </c>
      <c r="BE34" s="1026">
        <f>Application!I185</f>
        <v>0</v>
      </c>
    </row>
    <row r="35" spans="1:57" ht="13" customHeight="1">
      <c r="A35" s="1487"/>
      <c r="B35" s="1487"/>
      <c r="C35" s="1487"/>
      <c r="D35" s="1487"/>
      <c r="E35" s="1487"/>
      <c r="F35" s="1487"/>
      <c r="G35" s="1487"/>
      <c r="H35" s="1487"/>
      <c r="I35" s="1487"/>
      <c r="J35" s="1487"/>
      <c r="K35" s="1487"/>
      <c r="L35" s="148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1487"/>
      <c r="AO35" s="1487"/>
      <c r="AP35" s="1487"/>
      <c r="AQ35" s="1487"/>
      <c r="AR35" s="1487"/>
      <c r="AS35" s="1487"/>
      <c r="AT35" s="1487"/>
      <c r="AU35" s="15"/>
      <c r="AV35" s="15"/>
      <c r="AW35" s="15"/>
      <c r="AX35" s="15"/>
      <c r="AY35" s="15"/>
      <c r="AZ35" s="15"/>
      <c r="BD35" s="1024" t="s">
        <v>700</v>
      </c>
      <c r="BE35" s="1026" t="str">
        <f>IF(Application!E187="","",Application!E187)</f>
        <v>NW corner of Ferguson Ave. and Dinuba Ave.</v>
      </c>
    </row>
    <row r="36" spans="1:57" ht="13" customHeight="1">
      <c r="A36" s="1487"/>
      <c r="B36" s="1487"/>
      <c r="C36" s="1487"/>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c r="AN36" s="1487"/>
      <c r="AO36" s="1487"/>
      <c r="AP36" s="1487"/>
      <c r="AQ36" s="1487"/>
      <c r="AR36" s="1487"/>
      <c r="AS36" s="1487"/>
      <c r="AT36" s="1487"/>
      <c r="AU36" s="15"/>
      <c r="AV36" s="15"/>
      <c r="AW36" s="15"/>
      <c r="AX36" s="15"/>
      <c r="AY36" s="15"/>
      <c r="AZ36" s="15"/>
      <c r="BD36" s="1025" t="s">
        <v>701</v>
      </c>
      <c r="BE36" s="1026" t="str">
        <f>Application!I189</f>
        <v>Visalia</v>
      </c>
    </row>
    <row r="37" spans="1:57" ht="13" customHeight="1">
      <c r="A37" s="1487"/>
      <c r="B37" s="1487"/>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Z37" s="15"/>
      <c r="BD37" s="1024" t="s">
        <v>702</v>
      </c>
      <c r="BE37" s="1026" t="str">
        <f>Application!T189</f>
        <v>Tulare</v>
      </c>
    </row>
    <row r="38" spans="1:57" ht="13" customHeight="1">
      <c r="A38" s="2"/>
      <c r="AZ38" s="15"/>
      <c r="BD38" s="1025" t="s">
        <v>703</v>
      </c>
      <c r="BE38" s="1026">
        <f>Application!I190</f>
        <v>93291</v>
      </c>
    </row>
    <row r="39" spans="1:57" ht="13" customHeight="1">
      <c r="A39" s="1217" t="s">
        <v>704</v>
      </c>
      <c r="B39" s="1217"/>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c r="AI39" s="1217"/>
      <c r="AJ39" s="1217"/>
      <c r="AK39" s="1217"/>
      <c r="AL39" s="1217"/>
      <c r="AM39" s="1217"/>
      <c r="AN39" s="1217"/>
      <c r="AO39" s="1217"/>
      <c r="AP39" s="1217"/>
      <c r="AQ39" s="1217"/>
      <c r="AR39" s="1217"/>
      <c r="AS39" s="1217"/>
      <c r="AT39" s="1217"/>
      <c r="AZ39" s="15"/>
      <c r="BD39" s="1024" t="s">
        <v>705</v>
      </c>
      <c r="BE39" s="1026">
        <f>Application!AG437</f>
        <v>80</v>
      </c>
    </row>
    <row r="40" spans="1:57" ht="13" customHeight="1">
      <c r="A40" s="1217"/>
      <c r="B40" s="1217"/>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c r="AI40" s="1217"/>
      <c r="AJ40" s="1217"/>
      <c r="AK40" s="1217"/>
      <c r="AL40" s="1217"/>
      <c r="AM40" s="1217"/>
      <c r="AN40" s="1217"/>
      <c r="AO40" s="1217"/>
      <c r="AP40" s="1217"/>
      <c r="AQ40" s="1217"/>
      <c r="AR40" s="1217"/>
      <c r="AS40" s="1217"/>
      <c r="AT40" s="1217"/>
      <c r="AU40" s="15"/>
      <c r="AV40" s="15"/>
      <c r="AW40" s="15"/>
      <c r="AX40" s="15"/>
      <c r="AY40" s="15"/>
      <c r="AZ40" s="15"/>
      <c r="BD40" s="1025" t="s">
        <v>201</v>
      </c>
      <c r="BE40" s="1026">
        <f>Application!AG440</f>
        <v>79</v>
      </c>
    </row>
    <row r="41" spans="1:57" ht="13" customHeight="1">
      <c r="A41" s="1217"/>
      <c r="B41" s="1217"/>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7"/>
      <c r="AG41" s="1217"/>
      <c r="AH41" s="1217"/>
      <c r="AI41" s="1217"/>
      <c r="AJ41" s="1217"/>
      <c r="AK41" s="1217"/>
      <c r="AL41" s="1217"/>
      <c r="AM41" s="1217"/>
      <c r="AN41" s="1217"/>
      <c r="AO41" s="1217"/>
      <c r="AP41" s="1217"/>
      <c r="AQ41" s="1217"/>
      <c r="AR41" s="1217"/>
      <c r="AS41" s="1217"/>
      <c r="AT41" s="1217"/>
      <c r="AU41" s="15"/>
      <c r="AV41" s="15"/>
      <c r="AW41" s="15"/>
      <c r="AX41" s="15"/>
      <c r="AY41" s="15"/>
      <c r="AZ41" s="15"/>
      <c r="BD41" s="1024" t="s">
        <v>209</v>
      </c>
      <c r="BE41" s="1026">
        <f>Application!AG438</f>
        <v>0</v>
      </c>
    </row>
    <row r="42" spans="1:57" ht="13" customHeight="1">
      <c r="A42" s="1217"/>
      <c r="B42" s="1217"/>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c r="AI42" s="1217"/>
      <c r="AJ42" s="1217"/>
      <c r="AK42" s="1217"/>
      <c r="AL42" s="1217"/>
      <c r="AM42" s="1217"/>
      <c r="AN42" s="1217"/>
      <c r="AO42" s="1217"/>
      <c r="AP42" s="1217"/>
      <c r="AQ42" s="1217"/>
      <c r="AR42" s="1217"/>
      <c r="AS42" s="1217"/>
      <c r="AT42" s="1217"/>
      <c r="AZ42" s="15"/>
      <c r="BD42" s="1025" t="s">
        <v>706</v>
      </c>
      <c r="BE42" s="1028">
        <f>Application!AC753</f>
        <v>0.48607594936708859</v>
      </c>
    </row>
    <row r="43" spans="1:57" ht="13" customHeight="1">
      <c r="A43" s="1217"/>
      <c r="B43" s="1217"/>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c r="AI43" s="1217"/>
      <c r="AJ43" s="1217"/>
      <c r="AK43" s="1217"/>
      <c r="AL43" s="1217"/>
      <c r="AM43" s="1217"/>
      <c r="AN43" s="1217"/>
      <c r="AO43" s="1217"/>
      <c r="AP43" s="1217"/>
      <c r="AQ43" s="1217"/>
      <c r="AR43" s="1217"/>
      <c r="AS43" s="1217"/>
      <c r="AT43" s="1217"/>
      <c r="AU43" s="15"/>
      <c r="AV43" s="15"/>
      <c r="AW43" s="15"/>
      <c r="AX43" s="15"/>
      <c r="AY43" s="15"/>
      <c r="AZ43" s="15"/>
      <c r="BD43" s="1024" t="s">
        <v>707</v>
      </c>
      <c r="BE43" s="1028">
        <f>Application!AH753</f>
        <v>0.4734880450070324</v>
      </c>
    </row>
    <row r="44" spans="1:57" ht="13" customHeight="1">
      <c r="A44" s="1217"/>
      <c r="B44" s="1217"/>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c r="AB44" s="1217"/>
      <c r="AC44" s="1217"/>
      <c r="AD44" s="1217"/>
      <c r="AE44" s="1217"/>
      <c r="AF44" s="1217"/>
      <c r="AG44" s="1217"/>
      <c r="AH44" s="1217"/>
      <c r="AI44" s="1217"/>
      <c r="AJ44" s="1217"/>
      <c r="AK44" s="1217"/>
      <c r="AL44" s="1217"/>
      <c r="AM44" s="1217"/>
      <c r="AN44" s="1217"/>
      <c r="AO44" s="1217"/>
      <c r="AP44" s="1217"/>
      <c r="AQ44" s="1217"/>
      <c r="AR44" s="1217"/>
      <c r="AS44" s="1217"/>
      <c r="AT44" s="1217"/>
      <c r="AU44" s="15"/>
      <c r="AV44" s="15"/>
      <c r="AW44" s="15"/>
      <c r="AX44" s="15"/>
      <c r="AY44" s="15"/>
      <c r="AZ44" s="15"/>
      <c r="BD44" s="1025" t="s">
        <v>708</v>
      </c>
      <c r="BE44" s="1026">
        <f>Application!AC454</f>
        <v>482501.01250000001</v>
      </c>
    </row>
    <row r="45" spans="1:57" ht="13" customHeight="1">
      <c r="A45" s="1043"/>
      <c r="C45" s="1043"/>
      <c r="D45" s="1043"/>
      <c r="E45" s="1043"/>
      <c r="F45" s="1043"/>
      <c r="G45" s="1043"/>
      <c r="H45" s="1043"/>
      <c r="I45" s="1043"/>
      <c r="J45" s="1043"/>
      <c r="K45" s="1043"/>
      <c r="L45" s="1043"/>
      <c r="M45" s="1043"/>
      <c r="N45" s="1043"/>
      <c r="O45" s="1043"/>
      <c r="P45" s="1043"/>
      <c r="Q45" s="1043"/>
      <c r="R45" s="1043"/>
      <c r="S45" s="1043"/>
      <c r="T45" s="1043"/>
      <c r="U45" s="1043"/>
      <c r="V45" s="1043"/>
      <c r="W45" s="1043"/>
      <c r="X45" s="1043"/>
      <c r="Y45" s="1043"/>
      <c r="Z45" s="1043"/>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4" t="s">
        <v>709</v>
      </c>
      <c r="BE45" s="1026">
        <f>Application!AE424</f>
        <v>1</v>
      </c>
    </row>
    <row r="46" spans="1:57" ht="13" customHeight="1">
      <c r="A46" s="1285" t="s">
        <v>710</v>
      </c>
      <c r="B46" s="1285"/>
      <c r="C46" s="1285"/>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1285"/>
      <c r="AM46" s="1285"/>
      <c r="AN46" s="1285"/>
      <c r="AO46" s="1285"/>
      <c r="AP46" s="1285"/>
      <c r="AQ46" s="1285"/>
      <c r="AR46" s="1285"/>
      <c r="AS46" s="1285"/>
      <c r="AT46" s="1285"/>
      <c r="AU46" s="15"/>
      <c r="AV46" s="15"/>
      <c r="AW46" s="15"/>
      <c r="AX46" s="15"/>
      <c r="AY46" s="15"/>
      <c r="AZ46" s="15"/>
      <c r="BD46" s="1025" t="s">
        <v>711</v>
      </c>
      <c r="BE46" s="1026" t="b">
        <f>Application!T195="Yes"</f>
        <v>0</v>
      </c>
    </row>
    <row r="47" spans="1:57" ht="13" customHeight="1">
      <c r="A47" s="1285"/>
      <c r="B47" s="1285"/>
      <c r="C47" s="1285"/>
      <c r="D47" s="1285"/>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1285"/>
      <c r="AI47" s="1285"/>
      <c r="AJ47" s="1285"/>
      <c r="AK47" s="1285"/>
      <c r="AL47" s="1285"/>
      <c r="AM47" s="1285"/>
      <c r="AN47" s="1285"/>
      <c r="AO47" s="1285"/>
      <c r="AP47" s="1285"/>
      <c r="AQ47" s="1285"/>
      <c r="AR47" s="1285"/>
      <c r="AS47" s="1285"/>
      <c r="AT47" s="1285"/>
      <c r="AU47" s="15"/>
      <c r="AV47" s="15"/>
      <c r="AW47" s="15"/>
      <c r="AX47" s="15"/>
      <c r="AY47" s="15"/>
      <c r="AZ47" s="15"/>
      <c r="BD47" s="1024" t="s">
        <v>712</v>
      </c>
      <c r="BE47" s="1026" t="b">
        <f>Application!T196="Yes"</f>
        <v>0</v>
      </c>
    </row>
    <row r="48" spans="1:57" ht="13" customHeight="1">
      <c r="A48" s="1285"/>
      <c r="B48" s="1285"/>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1285"/>
      <c r="AI48" s="1285"/>
      <c r="AJ48" s="1285"/>
      <c r="AK48" s="1285"/>
      <c r="AL48" s="1285"/>
      <c r="AM48" s="1285"/>
      <c r="AN48" s="1285"/>
      <c r="AO48" s="1285"/>
      <c r="AP48" s="1285"/>
      <c r="AQ48" s="1285"/>
      <c r="AR48" s="1285"/>
      <c r="AS48" s="1285"/>
      <c r="AT48" s="1285"/>
      <c r="AU48" s="15"/>
      <c r="AV48" s="15"/>
      <c r="AW48" s="15"/>
      <c r="AX48" s="15"/>
      <c r="AY48" s="15"/>
      <c r="AZ48" s="15"/>
      <c r="BD48" s="1025" t="s">
        <v>713</v>
      </c>
      <c r="BE48" s="1026" t="str">
        <f>Application!M243</f>
        <v>SHE Crescent Meadows LLC</v>
      </c>
    </row>
    <row r="49" spans="1:57" ht="13" customHeight="1">
      <c r="A49" s="1285"/>
      <c r="B49" s="1285"/>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5"/>
      <c r="AV49" s="15"/>
      <c r="AW49" s="15"/>
      <c r="AX49" s="15"/>
      <c r="AY49" s="15"/>
      <c r="AZ49" s="15"/>
      <c r="BD49" s="1024" t="s">
        <v>714</v>
      </c>
      <c r="BE49" s="1026" t="str">
        <f>Application!M246</f>
        <v>Betsy McGovern-Garcia</v>
      </c>
    </row>
    <row r="50" spans="1:57" ht="13" customHeight="1">
      <c r="A50" s="1044"/>
      <c r="B50" s="1044"/>
      <c r="C50" s="1044"/>
      <c r="D50" s="1044"/>
      <c r="E50" s="1044"/>
      <c r="F50" s="1044"/>
      <c r="G50" s="1044"/>
      <c r="H50" s="1044"/>
      <c r="I50" s="1044"/>
      <c r="J50" s="1044"/>
      <c r="K50" s="1044"/>
      <c r="L50" s="1044"/>
      <c r="M50" s="1044"/>
      <c r="N50" s="1044"/>
      <c r="O50" s="1044"/>
      <c r="P50" s="1044"/>
      <c r="Q50" s="1044"/>
      <c r="R50" s="1044"/>
      <c r="S50" s="1044"/>
      <c r="T50" s="1044"/>
      <c r="U50" s="1044"/>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5"/>
      <c r="AV50" s="15"/>
      <c r="AW50" s="15"/>
      <c r="AX50" s="15"/>
      <c r="AY50" s="15"/>
      <c r="AZ50" s="15"/>
      <c r="BD50" s="1025" t="s">
        <v>715</v>
      </c>
      <c r="BE50" s="1026" t="str">
        <f>Application!AA249</f>
        <v>Self-Help Enterprises</v>
      </c>
    </row>
    <row r="51" spans="1:57" ht="13" customHeight="1">
      <c r="A51" s="1217" t="s">
        <v>716</v>
      </c>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c r="AL51" s="1217"/>
      <c r="AM51" s="1217"/>
      <c r="AN51" s="1217"/>
      <c r="AO51" s="1217"/>
      <c r="AP51" s="1217"/>
      <c r="AQ51" s="1217"/>
      <c r="AR51" s="1217"/>
      <c r="AS51" s="1217"/>
      <c r="AT51" s="1217"/>
      <c r="AU51" s="15"/>
      <c r="AV51" s="15"/>
      <c r="AW51" s="15"/>
      <c r="AX51" s="15"/>
      <c r="AY51" s="15"/>
      <c r="AZ51" s="15"/>
      <c r="BD51" s="1024" t="s">
        <v>717</v>
      </c>
      <c r="BE51" s="1026" t="str">
        <f>Application!M251</f>
        <v>Visalia Senior Housing 3, LLC</v>
      </c>
    </row>
    <row r="52" spans="1:57" ht="13" customHeight="1">
      <c r="A52" s="1217"/>
      <c r="B52" s="1217"/>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c r="AL52" s="1217"/>
      <c r="AM52" s="1217"/>
      <c r="AN52" s="1217"/>
      <c r="AO52" s="1217"/>
      <c r="AP52" s="1217"/>
      <c r="AQ52" s="1217"/>
      <c r="AR52" s="1217"/>
      <c r="AS52" s="1217"/>
      <c r="AT52" s="1217"/>
      <c r="AU52" s="15"/>
      <c r="AV52" s="15"/>
      <c r="AW52" s="15"/>
      <c r="AX52" s="15"/>
      <c r="AY52" s="15"/>
      <c r="AZ52" s="15"/>
      <c r="BD52" s="1025" t="s">
        <v>718</v>
      </c>
      <c r="BE52" s="1026" t="str">
        <f>Application!M254</f>
        <v>Sharon Adams</v>
      </c>
    </row>
    <row r="53" spans="1:57" ht="13" customHeight="1">
      <c r="C53" s="1043"/>
      <c r="D53" s="1043"/>
      <c r="E53" s="1043"/>
      <c r="F53" s="1043"/>
      <c r="G53" s="1043"/>
      <c r="H53" s="1043"/>
      <c r="I53" s="1043"/>
      <c r="J53" s="1043"/>
      <c r="K53" s="1043"/>
      <c r="L53" s="1043"/>
      <c r="M53" s="1043"/>
      <c r="N53" s="1043"/>
      <c r="O53" s="1043"/>
      <c r="P53" s="1043"/>
      <c r="Q53" s="1043"/>
      <c r="R53" s="1043"/>
      <c r="S53" s="1043"/>
      <c r="T53" s="1043"/>
      <c r="U53" s="1043"/>
      <c r="V53" s="1043"/>
      <c r="W53" s="1043"/>
      <c r="X53" s="1043"/>
      <c r="Y53" s="1043"/>
      <c r="Z53" s="1043"/>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4" t="s">
        <v>719</v>
      </c>
      <c r="BE53" s="1026" t="str">
        <f>Application!AA257</f>
        <v>Visalia Senior Housing</v>
      </c>
    </row>
    <row r="54" spans="1:57" ht="13" customHeight="1">
      <c r="A54" s="1217" t="s">
        <v>720</v>
      </c>
      <c r="B54" s="1217"/>
      <c r="C54" s="1217"/>
      <c r="D54" s="1217"/>
      <c r="E54" s="1217"/>
      <c r="F54" s="1217"/>
      <c r="G54" s="1217"/>
      <c r="H54" s="1217"/>
      <c r="I54" s="1217"/>
      <c r="J54" s="1217"/>
      <c r="K54" s="1217"/>
      <c r="L54" s="1217"/>
      <c r="M54" s="1217"/>
      <c r="N54" s="1217"/>
      <c r="O54" s="1217"/>
      <c r="P54" s="1217"/>
      <c r="Q54" s="1217"/>
      <c r="R54" s="1217"/>
      <c r="S54" s="1217"/>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c r="AU54" s="15"/>
      <c r="AV54" s="15"/>
      <c r="AW54" s="15"/>
      <c r="AX54" s="15"/>
      <c r="AY54" s="15"/>
      <c r="AZ54" s="16"/>
      <c r="BD54" s="1025" t="s">
        <v>721</v>
      </c>
      <c r="BE54" s="1026">
        <f>Application!M259</f>
        <v>0</v>
      </c>
    </row>
    <row r="55" spans="1:57" ht="13" customHeight="1">
      <c r="A55" s="1217"/>
      <c r="B55" s="1217"/>
      <c r="C55" s="1217"/>
      <c r="D55" s="1217"/>
      <c r="E55" s="1217"/>
      <c r="F55" s="1217"/>
      <c r="G55" s="1217"/>
      <c r="H55" s="1217"/>
      <c r="I55" s="1217"/>
      <c r="J55" s="1217"/>
      <c r="K55" s="1217"/>
      <c r="L55" s="1217"/>
      <c r="M55" s="1217"/>
      <c r="N55" s="1217"/>
      <c r="O55" s="1217"/>
      <c r="P55" s="1217"/>
      <c r="Q55" s="1217"/>
      <c r="R55" s="1217"/>
      <c r="S55" s="1217"/>
      <c r="T55" s="1217"/>
      <c r="U55" s="1217"/>
      <c r="V55" s="1217"/>
      <c r="W55" s="1217"/>
      <c r="X55" s="1217"/>
      <c r="Y55" s="1217"/>
      <c r="Z55" s="1217"/>
      <c r="AA55" s="1217"/>
      <c r="AB55" s="1217"/>
      <c r="AC55" s="1217"/>
      <c r="AD55" s="1217"/>
      <c r="AE55" s="1217"/>
      <c r="AF55" s="1217"/>
      <c r="AG55" s="1217"/>
      <c r="AH55" s="1217"/>
      <c r="AI55" s="1217"/>
      <c r="AJ55" s="1217"/>
      <c r="AK55" s="1217"/>
      <c r="AL55" s="1217"/>
      <c r="AM55" s="1217"/>
      <c r="AN55" s="1217"/>
      <c r="AO55" s="1217"/>
      <c r="AP55" s="1217"/>
      <c r="AQ55" s="1217"/>
      <c r="AR55" s="1217"/>
      <c r="AS55" s="1217"/>
      <c r="AT55" s="1217"/>
      <c r="AZ55" s="16"/>
      <c r="BD55" s="1024" t="s">
        <v>722</v>
      </c>
      <c r="BE55" s="1026">
        <f>Application!M262</f>
        <v>0</v>
      </c>
    </row>
    <row r="56" spans="1:57" ht="13" customHeight="1">
      <c r="A56" s="1217"/>
      <c r="B56" s="1217"/>
      <c r="C56" s="1217"/>
      <c r="D56" s="1217"/>
      <c r="E56" s="1217"/>
      <c r="F56" s="1217"/>
      <c r="G56" s="1217"/>
      <c r="H56" s="1217"/>
      <c r="I56" s="1217"/>
      <c r="J56" s="1217"/>
      <c r="K56" s="1217"/>
      <c r="L56" s="1217"/>
      <c r="M56" s="1217"/>
      <c r="N56" s="1217"/>
      <c r="O56" s="1217"/>
      <c r="P56" s="1217"/>
      <c r="Q56" s="1217"/>
      <c r="R56" s="1217"/>
      <c r="S56" s="1217"/>
      <c r="T56" s="1217"/>
      <c r="U56" s="1217"/>
      <c r="V56" s="1217"/>
      <c r="W56" s="1217"/>
      <c r="X56" s="1217"/>
      <c r="Y56" s="1217"/>
      <c r="Z56" s="1217"/>
      <c r="AA56" s="1217"/>
      <c r="AB56" s="1217"/>
      <c r="AC56" s="1217"/>
      <c r="AD56" s="1217"/>
      <c r="AE56" s="1217"/>
      <c r="AF56" s="1217"/>
      <c r="AG56" s="1217"/>
      <c r="AH56" s="1217"/>
      <c r="AI56" s="1217"/>
      <c r="AJ56" s="1217"/>
      <c r="AK56" s="1217"/>
      <c r="AL56" s="1217"/>
      <c r="AM56" s="1217"/>
      <c r="AN56" s="1217"/>
      <c r="AO56" s="1217"/>
      <c r="AP56" s="1217"/>
      <c r="AQ56" s="1217"/>
      <c r="AR56" s="1217"/>
      <c r="AS56" s="1217"/>
      <c r="AT56" s="1217"/>
      <c r="BD56" s="1025" t="s">
        <v>723</v>
      </c>
      <c r="BE56" s="1026">
        <f>Application!AA265</f>
        <v>0</v>
      </c>
    </row>
    <row r="57" spans="1:57" ht="13" customHeight="1">
      <c r="A57" s="1217"/>
      <c r="B57" s="1217"/>
      <c r="C57" s="1217"/>
      <c r="D57" s="1217"/>
      <c r="E57" s="1217"/>
      <c r="F57" s="1217"/>
      <c r="G57" s="1217"/>
      <c r="H57" s="1217"/>
      <c r="I57" s="1217"/>
      <c r="J57" s="1217"/>
      <c r="K57" s="1217"/>
      <c r="L57" s="1217"/>
      <c r="M57" s="1217"/>
      <c r="N57" s="1217"/>
      <c r="O57" s="1217"/>
      <c r="P57" s="1217"/>
      <c r="Q57" s="1217"/>
      <c r="R57" s="1217"/>
      <c r="S57" s="1217"/>
      <c r="T57" s="1217"/>
      <c r="U57" s="1217"/>
      <c r="V57" s="1217"/>
      <c r="W57" s="1217"/>
      <c r="X57" s="1217"/>
      <c r="Y57" s="1217"/>
      <c r="Z57" s="1217"/>
      <c r="AA57" s="1217"/>
      <c r="AB57" s="1217"/>
      <c r="AC57" s="1217"/>
      <c r="AD57" s="1217"/>
      <c r="AE57" s="1217"/>
      <c r="AF57" s="1217"/>
      <c r="AG57" s="1217"/>
      <c r="AH57" s="1217"/>
      <c r="AI57" s="1217"/>
      <c r="AJ57" s="1217"/>
      <c r="AK57" s="1217"/>
      <c r="AL57" s="1217"/>
      <c r="AM57" s="1217"/>
      <c r="AN57" s="1217"/>
      <c r="AO57" s="1217"/>
      <c r="AP57" s="1217"/>
      <c r="AQ57" s="1217"/>
      <c r="AR57" s="1217"/>
      <c r="AS57" s="1217"/>
      <c r="AT57" s="1217"/>
      <c r="BD57" s="1024" t="s">
        <v>724</v>
      </c>
      <c r="BE57" s="1026" t="str">
        <f>Application!H287</f>
        <v>Self-Help Enterprises</v>
      </c>
    </row>
    <row r="58" spans="1:57" ht="13" customHeight="1">
      <c r="A58" s="1217"/>
      <c r="B58" s="1217"/>
      <c r="C58" s="1217"/>
      <c r="D58" s="1217"/>
      <c r="E58" s="1217"/>
      <c r="F58" s="1217"/>
      <c r="G58" s="1217"/>
      <c r="H58" s="1217"/>
      <c r="I58" s="1217"/>
      <c r="J58" s="1217"/>
      <c r="K58" s="1217"/>
      <c r="L58" s="1217"/>
      <c r="M58" s="1217"/>
      <c r="N58" s="1217"/>
      <c r="O58" s="1217"/>
      <c r="P58" s="1217"/>
      <c r="Q58" s="1217"/>
      <c r="R58" s="1217"/>
      <c r="S58" s="1217"/>
      <c r="T58" s="1217"/>
      <c r="U58" s="1217"/>
      <c r="V58" s="1217"/>
      <c r="W58" s="1217"/>
      <c r="X58" s="1217"/>
      <c r="Y58" s="1217"/>
      <c r="Z58" s="1217"/>
      <c r="AA58" s="1217"/>
      <c r="AB58" s="1217"/>
      <c r="AC58" s="1217"/>
      <c r="AD58" s="1217"/>
      <c r="AE58" s="1217"/>
      <c r="AF58" s="1217"/>
      <c r="AG58" s="1217"/>
      <c r="AH58" s="1217"/>
      <c r="AI58" s="1217"/>
      <c r="AJ58" s="1217"/>
      <c r="AK58" s="1217"/>
      <c r="AL58" s="1217"/>
      <c r="AM58" s="1217"/>
      <c r="AN58" s="1217"/>
      <c r="AO58" s="1217"/>
      <c r="AP58" s="1217"/>
      <c r="AQ58" s="1217"/>
      <c r="AR58" s="1217"/>
      <c r="AS58" s="1217"/>
      <c r="AT58" s="1217"/>
      <c r="BD58" s="1025" t="s">
        <v>725</v>
      </c>
      <c r="BE58" s="1026" t="str">
        <f>Application!H288</f>
        <v>8445 W. Elowin Court</v>
      </c>
    </row>
    <row r="59" spans="1:57" ht="13" customHeight="1">
      <c r="A59" s="1043"/>
      <c r="C59" s="1043"/>
      <c r="D59" s="1043"/>
      <c r="E59" s="1043"/>
      <c r="F59" s="1043"/>
      <c r="G59" s="1043"/>
      <c r="H59" s="1043"/>
      <c r="I59" s="1043"/>
      <c r="J59" s="1043"/>
      <c r="K59" s="1043"/>
      <c r="L59" s="1043"/>
      <c r="M59" s="1043"/>
      <c r="N59" s="1043"/>
      <c r="O59" s="1043"/>
      <c r="P59" s="1043"/>
      <c r="Q59" s="1043"/>
      <c r="R59" s="1043"/>
      <c r="S59" s="1043"/>
      <c r="T59" s="1043"/>
      <c r="U59" s="1043"/>
      <c r="V59" s="1043"/>
      <c r="W59" s="1043"/>
      <c r="X59" s="1043"/>
      <c r="Y59" s="1043"/>
      <c r="Z59" s="1043"/>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4" t="s">
        <v>726</v>
      </c>
      <c r="BE59" s="1026" t="str">
        <f>Application!H289</f>
        <v>Visalia, CA 93291</v>
      </c>
    </row>
    <row r="60" spans="1:57" ht="13" customHeight="1">
      <c r="A60" s="1217" t="s">
        <v>727</v>
      </c>
      <c r="B60" s="1217"/>
      <c r="C60" s="1217"/>
      <c r="D60" s="1217"/>
      <c r="E60" s="1217"/>
      <c r="F60" s="1217"/>
      <c r="G60" s="1217"/>
      <c r="H60" s="1217"/>
      <c r="I60" s="1217"/>
      <c r="J60" s="1217"/>
      <c r="K60" s="1217"/>
      <c r="L60" s="1217"/>
      <c r="M60" s="1217"/>
      <c r="N60" s="1217"/>
      <c r="O60" s="1217"/>
      <c r="P60" s="1217"/>
      <c r="Q60" s="1217"/>
      <c r="R60" s="1217"/>
      <c r="S60" s="1217"/>
      <c r="T60" s="1217"/>
      <c r="U60" s="1217"/>
      <c r="V60" s="1217"/>
      <c r="W60" s="1217"/>
      <c r="X60" s="1217"/>
      <c r="Y60" s="1217"/>
      <c r="Z60" s="1217"/>
      <c r="AA60" s="1217"/>
      <c r="AB60" s="1217"/>
      <c r="AC60" s="1217"/>
      <c r="AD60" s="1217"/>
      <c r="AE60" s="1217"/>
      <c r="AF60" s="1217"/>
      <c r="AG60" s="1217"/>
      <c r="AH60" s="1217"/>
      <c r="AI60" s="1217"/>
      <c r="AJ60" s="1217"/>
      <c r="AK60" s="1217"/>
      <c r="AL60" s="1217"/>
      <c r="AM60" s="1217"/>
      <c r="AN60" s="1217"/>
      <c r="AO60" s="1217"/>
      <c r="AP60" s="1217"/>
      <c r="AQ60" s="1217"/>
      <c r="AR60" s="1217"/>
      <c r="AS60" s="1217"/>
      <c r="AT60" s="1217"/>
      <c r="AU60" s="15"/>
      <c r="AV60" s="15"/>
      <c r="AW60" s="15"/>
      <c r="AX60" s="15"/>
      <c r="AY60" s="15"/>
      <c r="AZ60" s="15"/>
      <c r="BD60" s="1025" t="s">
        <v>728</v>
      </c>
      <c r="BE60" s="1026" t="str">
        <f>Application!H290</f>
        <v>Betsy McGovern-Garcia</v>
      </c>
    </row>
    <row r="61" spans="1:57" ht="13" customHeight="1">
      <c r="A61" s="1217"/>
      <c r="B61" s="1217"/>
      <c r="C61" s="1217"/>
      <c r="D61" s="1217"/>
      <c r="E61" s="1217"/>
      <c r="F61" s="1217"/>
      <c r="G61" s="1217"/>
      <c r="H61" s="1217"/>
      <c r="I61" s="1217"/>
      <c r="J61" s="1217"/>
      <c r="K61" s="1217"/>
      <c r="L61" s="1217"/>
      <c r="M61" s="1217"/>
      <c r="N61" s="1217"/>
      <c r="O61" s="1217"/>
      <c r="P61" s="1217"/>
      <c r="Q61" s="1217"/>
      <c r="R61" s="1217"/>
      <c r="S61" s="1217"/>
      <c r="T61" s="1217"/>
      <c r="U61" s="1217"/>
      <c r="V61" s="1217"/>
      <c r="W61" s="1217"/>
      <c r="X61" s="1217"/>
      <c r="Y61" s="1217"/>
      <c r="Z61" s="1217"/>
      <c r="AA61" s="1217"/>
      <c r="AB61" s="1217"/>
      <c r="AC61" s="1217"/>
      <c r="AD61" s="1217"/>
      <c r="AE61" s="1217"/>
      <c r="AF61" s="1217"/>
      <c r="AG61" s="1217"/>
      <c r="AH61" s="1217"/>
      <c r="AI61" s="1217"/>
      <c r="AJ61" s="1217"/>
      <c r="AK61" s="1217"/>
      <c r="AL61" s="1217"/>
      <c r="AM61" s="1217"/>
      <c r="AN61" s="1217"/>
      <c r="AO61" s="1217"/>
      <c r="AP61" s="1217"/>
      <c r="AQ61" s="1217"/>
      <c r="AR61" s="1217"/>
      <c r="AS61" s="1217"/>
      <c r="AT61" s="1217"/>
      <c r="AU61" s="15"/>
      <c r="AV61" s="15"/>
      <c r="AW61" s="15"/>
      <c r="AX61" s="15"/>
      <c r="AY61" s="15"/>
      <c r="AZ61" s="15"/>
      <c r="BD61" s="1024" t="s">
        <v>729</v>
      </c>
      <c r="BE61" s="1026" t="str">
        <f>Application!H293</f>
        <v>BetsyG@selfhelpenterprises.org</v>
      </c>
    </row>
    <row r="62" spans="1:57" ht="13" customHeight="1">
      <c r="A62" s="1043"/>
      <c r="C62" s="1043"/>
      <c r="D62" s="1043"/>
      <c r="E62" s="1043"/>
      <c r="F62" s="1043"/>
      <c r="G62" s="1043"/>
      <c r="H62" s="1043"/>
      <c r="I62" s="1043"/>
      <c r="J62" s="1043"/>
      <c r="K62" s="1043"/>
      <c r="L62" s="1043"/>
      <c r="M62" s="1043"/>
      <c r="N62" s="1043"/>
      <c r="O62" s="1043"/>
      <c r="P62" s="1043"/>
      <c r="Q62" s="1043"/>
      <c r="R62" s="1043"/>
      <c r="S62" s="1043"/>
      <c r="T62" s="1043"/>
      <c r="U62" s="1043"/>
      <c r="V62" s="1043"/>
      <c r="W62" s="1043"/>
      <c r="X62" s="1043"/>
      <c r="Y62" s="1043"/>
      <c r="Z62" s="1043"/>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5" t="s">
        <v>730</v>
      </c>
      <c r="BE62" s="1029">
        <f>'Basis &amp; Credits'!AB50</f>
        <v>0.93911370000000005</v>
      </c>
    </row>
    <row r="63" spans="1:57" ht="13" customHeight="1">
      <c r="A63" s="1043" t="s">
        <v>731</v>
      </c>
      <c r="C63" s="1043"/>
      <c r="D63" s="1043"/>
      <c r="E63" s="1043"/>
      <c r="F63" s="1043"/>
      <c r="G63" s="1043"/>
      <c r="H63" s="1043"/>
      <c r="I63" s="1043"/>
      <c r="J63" s="1043"/>
      <c r="K63" s="1043"/>
      <c r="L63" s="1043"/>
      <c r="M63" s="1043"/>
      <c r="N63" s="1043"/>
      <c r="O63" s="1043"/>
      <c r="P63" s="1043"/>
      <c r="Q63" s="1043"/>
      <c r="R63" s="1043"/>
      <c r="S63" s="1043"/>
      <c r="T63" s="1043"/>
      <c r="U63" s="1043"/>
      <c r="V63" s="1043"/>
      <c r="W63" s="1043"/>
      <c r="X63" s="1043"/>
      <c r="Y63" s="1043"/>
      <c r="Z63" s="1043"/>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4" t="s">
        <v>732</v>
      </c>
      <c r="BE63" s="1029">
        <f>'Basis &amp; Credits'!AB72</f>
        <v>0</v>
      </c>
    </row>
    <row r="64" spans="1:57" ht="13" customHeight="1">
      <c r="C64" s="1043"/>
      <c r="D64" s="1043"/>
      <c r="E64" s="1043"/>
      <c r="F64" s="1043"/>
      <c r="G64" s="1043"/>
      <c r="H64" s="1043"/>
      <c r="I64" s="1043"/>
      <c r="J64" s="1043"/>
      <c r="K64" s="1043"/>
      <c r="L64" s="1043"/>
      <c r="M64" s="1043"/>
      <c r="N64" s="1043"/>
      <c r="O64" s="1043"/>
      <c r="P64" s="1043"/>
      <c r="Q64" s="1043"/>
      <c r="R64" s="1043"/>
      <c r="S64" s="1043"/>
      <c r="T64" s="1043"/>
      <c r="U64" s="1043"/>
      <c r="V64" s="1043"/>
      <c r="W64" s="1043"/>
      <c r="X64" s="1043"/>
      <c r="Y64" s="1043"/>
      <c r="Z64" s="1043"/>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5" t="s">
        <v>733</v>
      </c>
      <c r="BE64" s="1026" t="str">
        <f>Application!X180</f>
        <v>No</v>
      </c>
    </row>
    <row r="65" spans="1:57" ht="13" customHeight="1">
      <c r="A65" s="1217" t="s">
        <v>734</v>
      </c>
      <c r="B65" s="1217"/>
      <c r="C65" s="1217"/>
      <c r="D65" s="1217"/>
      <c r="E65" s="1217"/>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1217"/>
      <c r="AG65" s="1217"/>
      <c r="AH65" s="1217"/>
      <c r="AI65" s="1217"/>
      <c r="AJ65" s="1217"/>
      <c r="AK65" s="1217"/>
      <c r="AL65" s="1217"/>
      <c r="AM65" s="1217"/>
      <c r="AN65" s="1217"/>
      <c r="AO65" s="1217"/>
      <c r="AP65" s="1217"/>
      <c r="AQ65" s="1217"/>
      <c r="AR65" s="1217"/>
      <c r="AS65" s="1217"/>
      <c r="AT65" s="1217"/>
      <c r="AU65" s="16"/>
      <c r="AV65" s="16"/>
      <c r="AW65" s="16"/>
      <c r="AX65" s="16"/>
      <c r="AY65" s="16"/>
      <c r="AZ65" s="15"/>
      <c r="BD65" s="1024" t="s">
        <v>735</v>
      </c>
      <c r="BE65" s="1026" t="str">
        <f>Z205</f>
        <v>(select)</v>
      </c>
    </row>
    <row r="66" spans="1:57" ht="13" customHeight="1">
      <c r="A66" s="1217"/>
      <c r="B66" s="1217"/>
      <c r="C66" s="1217"/>
      <c r="D66" s="1217"/>
      <c r="E66" s="1217"/>
      <c r="F66" s="1217"/>
      <c r="G66" s="1217"/>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c r="AL66" s="1217"/>
      <c r="AM66" s="1217"/>
      <c r="AN66" s="1217"/>
      <c r="AO66" s="1217"/>
      <c r="AP66" s="1217"/>
      <c r="AQ66" s="1217"/>
      <c r="AR66" s="1217"/>
      <c r="AS66" s="1217"/>
      <c r="AT66" s="1217"/>
      <c r="AU66" s="16"/>
      <c r="AV66" s="16"/>
      <c r="AW66" s="16"/>
      <c r="AX66" s="16"/>
      <c r="AY66" s="16"/>
      <c r="AZ66" s="15"/>
      <c r="BD66" s="1025" t="s">
        <v>736</v>
      </c>
      <c r="BE66" s="1026" t="b">
        <f>Application!Z205="State Farmworker Credit"</f>
        <v>0</v>
      </c>
    </row>
    <row r="67" spans="1:57" ht="13" customHeight="1">
      <c r="A67" s="1217"/>
      <c r="B67" s="1217"/>
      <c r="C67" s="1217"/>
      <c r="D67" s="1217"/>
      <c r="E67" s="1217"/>
      <c r="F67" s="1217"/>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c r="AL67" s="1217"/>
      <c r="AM67" s="1217"/>
      <c r="AN67" s="1217"/>
      <c r="AO67" s="1217"/>
      <c r="AP67" s="1217"/>
      <c r="AQ67" s="1217"/>
      <c r="AR67" s="1217"/>
      <c r="AS67" s="1217"/>
      <c r="AT67" s="1217"/>
      <c r="AZ67" s="15"/>
      <c r="BD67" s="1024" t="s">
        <v>737</v>
      </c>
      <c r="BE67" s="1026"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5" t="s">
        <v>738</v>
      </c>
      <c r="BE68" s="1026">
        <f>'Sources and Uses Budget'!D105</f>
        <v>0</v>
      </c>
    </row>
    <row r="69" spans="1:57" ht="13" customHeight="1">
      <c r="A69" s="1217" t="s">
        <v>739</v>
      </c>
      <c r="B69" s="1217"/>
      <c r="C69" s="1217"/>
      <c r="D69" s="1217"/>
      <c r="E69" s="1217"/>
      <c r="F69" s="1217"/>
      <c r="G69" s="1217"/>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c r="AL69" s="1217"/>
      <c r="AM69" s="1217"/>
      <c r="AN69" s="1217"/>
      <c r="AO69" s="1217"/>
      <c r="AP69" s="1217"/>
      <c r="AQ69" s="1217"/>
      <c r="AR69" s="1217"/>
      <c r="AS69" s="1217"/>
      <c r="AT69" s="1217"/>
      <c r="AZ69" s="15"/>
      <c r="BD69" s="1024" t="s">
        <v>740</v>
      </c>
      <c r="BE69" s="1026" t="str">
        <f>Application!W700</f>
        <v>California Municipal Finance Authority</v>
      </c>
    </row>
    <row r="70" spans="1:57" ht="13" customHeight="1">
      <c r="A70" s="1217"/>
      <c r="B70" s="1217"/>
      <c r="C70" s="1217"/>
      <c r="D70" s="1217"/>
      <c r="E70" s="1217"/>
      <c r="F70" s="1217"/>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c r="AL70" s="1217"/>
      <c r="AM70" s="1217"/>
      <c r="AN70" s="1217"/>
      <c r="AO70" s="1217"/>
      <c r="AP70" s="1217"/>
      <c r="AQ70" s="1217"/>
      <c r="AR70" s="1217"/>
      <c r="AS70" s="1217"/>
      <c r="AT70" s="1217"/>
      <c r="AU70" s="15"/>
      <c r="AV70" s="15"/>
      <c r="AW70" s="15"/>
      <c r="AX70" s="15"/>
      <c r="AY70" s="15"/>
      <c r="AZ70" s="15"/>
      <c r="BD70" s="1025" t="s">
        <v>741</v>
      </c>
      <c r="BE70" s="1026">
        <f ca="1">'Points System'!AF821</f>
        <v>119</v>
      </c>
    </row>
    <row r="71" spans="1:57" ht="13" customHeight="1">
      <c r="A71" s="1043"/>
      <c r="C71" s="1043"/>
      <c r="D71" s="1043"/>
      <c r="E71" s="1043"/>
      <c r="F71" s="1043"/>
      <c r="G71" s="1043"/>
      <c r="H71" s="1043"/>
      <c r="I71" s="1043"/>
      <c r="J71" s="1043"/>
      <c r="K71" s="1043"/>
      <c r="L71" s="1043"/>
      <c r="M71" s="1043"/>
      <c r="N71" s="1043"/>
      <c r="O71" s="1043"/>
      <c r="P71" s="1043"/>
      <c r="Q71" s="1043"/>
      <c r="R71" s="1043"/>
      <c r="S71" s="1043"/>
      <c r="T71" s="1043"/>
      <c r="U71" s="1043"/>
      <c r="V71" s="1043"/>
      <c r="W71" s="1043"/>
      <c r="X71" s="1043"/>
      <c r="Y71" s="1043"/>
      <c r="Z71" s="1043"/>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4" t="s">
        <v>742</v>
      </c>
      <c r="BE71" s="1026">
        <f>'Points System'!AF804</f>
        <v>0</v>
      </c>
    </row>
    <row r="72" spans="1:57" ht="13" customHeight="1">
      <c r="A72" s="1487" t="s">
        <v>743</v>
      </c>
      <c r="B72" s="1487"/>
      <c r="C72" s="1487"/>
      <c r="D72" s="1487"/>
      <c r="E72" s="1487"/>
      <c r="F72" s="1487"/>
      <c r="G72" s="1487"/>
      <c r="H72" s="1487"/>
      <c r="I72" s="1487"/>
      <c r="J72" s="1487"/>
      <c r="K72" s="1487"/>
      <c r="L72" s="1487"/>
      <c r="M72" s="1487"/>
      <c r="N72" s="1487"/>
      <c r="O72" s="1487"/>
      <c r="P72" s="1487"/>
      <c r="Q72" s="1487"/>
      <c r="R72" s="1487"/>
      <c r="S72" s="1487"/>
      <c r="T72" s="1487"/>
      <c r="U72" s="1487"/>
      <c r="V72" s="1487"/>
      <c r="W72" s="1487"/>
      <c r="X72" s="1487"/>
      <c r="Y72" s="1487"/>
      <c r="Z72" s="1487"/>
      <c r="AA72" s="1487"/>
      <c r="AB72" s="1487"/>
      <c r="AC72" s="1487"/>
      <c r="AD72" s="1487"/>
      <c r="AE72" s="1487"/>
      <c r="AF72" s="1487"/>
      <c r="AG72" s="1487"/>
      <c r="AH72" s="1487"/>
      <c r="AI72" s="1487"/>
      <c r="AJ72" s="1487"/>
      <c r="AK72" s="1487"/>
      <c r="AL72" s="1487"/>
      <c r="AM72" s="1487"/>
      <c r="AN72" s="1487"/>
      <c r="AO72" s="1487"/>
      <c r="AP72" s="1487"/>
      <c r="AQ72" s="1487"/>
      <c r="AR72" s="1487"/>
      <c r="AS72" s="1487"/>
      <c r="AT72" s="1487"/>
      <c r="AU72" s="15"/>
      <c r="AV72" s="15"/>
      <c r="AW72" s="15"/>
      <c r="AX72" s="15"/>
      <c r="AY72" s="15"/>
      <c r="AZ72" s="15"/>
      <c r="BD72" s="1025" t="s">
        <v>744</v>
      </c>
      <c r="BE72" s="1026">
        <f>'Points System'!AF805</f>
        <v>10</v>
      </c>
    </row>
    <row r="73" spans="1:57" ht="13" customHeight="1">
      <c r="A73" s="1487"/>
      <c r="B73" s="1487"/>
      <c r="C73" s="1487"/>
      <c r="D73" s="1487"/>
      <c r="E73" s="1487"/>
      <c r="F73" s="1487"/>
      <c r="G73" s="1487"/>
      <c r="H73" s="1487"/>
      <c r="I73" s="1487"/>
      <c r="J73" s="1487"/>
      <c r="K73" s="1487"/>
      <c r="L73" s="1487"/>
      <c r="M73" s="1487"/>
      <c r="N73" s="1487"/>
      <c r="O73" s="1487"/>
      <c r="P73" s="1487"/>
      <c r="Q73" s="1487"/>
      <c r="R73" s="1487"/>
      <c r="S73" s="1487"/>
      <c r="T73" s="1487"/>
      <c r="U73" s="1487"/>
      <c r="V73" s="1487"/>
      <c r="W73" s="1487"/>
      <c r="X73" s="1487"/>
      <c r="Y73" s="1487"/>
      <c r="Z73" s="1487"/>
      <c r="AA73" s="1487"/>
      <c r="AB73" s="1487"/>
      <c r="AC73" s="1487"/>
      <c r="AD73" s="1487"/>
      <c r="AE73" s="1487"/>
      <c r="AF73" s="1487"/>
      <c r="AG73" s="1487"/>
      <c r="AH73" s="1487"/>
      <c r="AI73" s="1487"/>
      <c r="AJ73" s="1487"/>
      <c r="AK73" s="1487"/>
      <c r="AL73" s="1487"/>
      <c r="AM73" s="1487"/>
      <c r="AN73" s="1487"/>
      <c r="AO73" s="1487"/>
      <c r="AP73" s="1487"/>
      <c r="AQ73" s="1487"/>
      <c r="AR73" s="1487"/>
      <c r="AS73" s="1487"/>
      <c r="AT73" s="1487"/>
      <c r="AU73" s="15"/>
      <c r="AV73" s="15"/>
      <c r="AW73" s="15"/>
      <c r="AX73" s="15"/>
      <c r="AY73" s="15"/>
      <c r="AZ73" s="15"/>
      <c r="BD73" s="1024" t="s">
        <v>745</v>
      </c>
      <c r="BE73" s="1026">
        <f ca="1">'Points System'!AF806</f>
        <v>20</v>
      </c>
    </row>
    <row r="74" spans="1:57" ht="13" customHeight="1">
      <c r="A74" s="1043"/>
      <c r="C74" s="1043"/>
      <c r="D74" s="1043"/>
      <c r="E74" s="1043"/>
      <c r="F74" s="1043"/>
      <c r="G74" s="1043"/>
      <c r="H74" s="1043"/>
      <c r="I74" s="1043"/>
      <c r="J74" s="1043"/>
      <c r="K74" s="1043"/>
      <c r="L74" s="1043"/>
      <c r="M74" s="1043"/>
      <c r="N74" s="1043"/>
      <c r="O74" s="1043"/>
      <c r="P74" s="1043"/>
      <c r="Q74" s="1043"/>
      <c r="R74" s="1043"/>
      <c r="S74" s="1043"/>
      <c r="T74" s="1043"/>
      <c r="U74" s="1043"/>
      <c r="V74" s="1043"/>
      <c r="W74" s="1043"/>
      <c r="X74" s="1043"/>
      <c r="Y74" s="1043"/>
      <c r="Z74" s="1043"/>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5" t="s">
        <v>746</v>
      </c>
      <c r="BE74" s="1026">
        <f>'Points System'!AF807</f>
        <v>10</v>
      </c>
    </row>
    <row r="75" spans="1:57" ht="13" customHeight="1">
      <c r="A75" s="1494" t="s">
        <v>747</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5"/>
      <c r="AV75" s="15"/>
      <c r="AW75" s="15"/>
      <c r="AX75" s="15"/>
      <c r="AY75" s="15"/>
      <c r="AZ75" s="15"/>
      <c r="BD75" s="1024" t="s">
        <v>748</v>
      </c>
      <c r="BE75" s="1026">
        <f>'Points System'!AF808</f>
        <v>10</v>
      </c>
    </row>
    <row r="76" spans="1:57" ht="13"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5"/>
      <c r="AV76" s="15"/>
      <c r="AW76" s="15"/>
      <c r="AX76" s="15"/>
      <c r="AY76" s="15"/>
      <c r="AZ76" s="13"/>
      <c r="BD76" s="1025" t="s">
        <v>749</v>
      </c>
      <c r="BE76" s="1026">
        <f>'Points System'!AF811</f>
        <v>10</v>
      </c>
    </row>
    <row r="77" spans="1:57" ht="13"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5"/>
      <c r="AV77" s="15"/>
      <c r="AW77" s="15"/>
      <c r="AX77" s="15"/>
      <c r="AY77" s="15"/>
      <c r="AZ77" s="13"/>
      <c r="BD77" s="1024" t="s">
        <v>750</v>
      </c>
      <c r="BE77" s="1026">
        <f>'Points System'!AF812</f>
        <v>8</v>
      </c>
    </row>
    <row r="78" spans="1:57" ht="13" customHeight="1">
      <c r="C78" s="1043"/>
      <c r="D78" s="1043"/>
      <c r="E78" s="1043"/>
      <c r="F78" s="1043"/>
      <c r="G78" s="1043"/>
      <c r="H78" s="1043"/>
      <c r="I78" s="1043"/>
      <c r="J78" s="1043"/>
      <c r="K78" s="1043"/>
      <c r="L78" s="1043"/>
      <c r="M78" s="1043"/>
      <c r="N78" s="1043"/>
      <c r="O78" s="1043"/>
      <c r="P78" s="1043"/>
      <c r="Q78" s="1043"/>
      <c r="R78" s="1043"/>
      <c r="S78" s="1043"/>
      <c r="T78" s="1043"/>
      <c r="U78" s="1043"/>
      <c r="V78" s="1043"/>
      <c r="W78" s="1043"/>
      <c r="X78" s="1043"/>
      <c r="Y78" s="1043"/>
      <c r="Z78" s="1043"/>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5" t="s">
        <v>751</v>
      </c>
      <c r="BE78" s="1026">
        <f>'Points System'!AF814</f>
        <v>10</v>
      </c>
    </row>
    <row r="79" spans="1:57" ht="13" customHeight="1">
      <c r="A79" s="1217" t="s">
        <v>752</v>
      </c>
      <c r="B79" s="1217"/>
      <c r="C79" s="1217"/>
      <c r="D79" s="1217"/>
      <c r="E79" s="1217"/>
      <c r="F79" s="1217"/>
      <c r="G79" s="1217"/>
      <c r="H79" s="1217"/>
      <c r="I79" s="1217"/>
      <c r="J79" s="1217"/>
      <c r="K79" s="1217"/>
      <c r="L79" s="1217"/>
      <c r="M79" s="1217"/>
      <c r="N79" s="1217"/>
      <c r="O79" s="1217"/>
      <c r="P79" s="1217"/>
      <c r="Q79" s="1217"/>
      <c r="R79" s="1217"/>
      <c r="S79" s="1217"/>
      <c r="T79" s="1217"/>
      <c r="U79" s="1217"/>
      <c r="V79" s="1217"/>
      <c r="W79" s="1217"/>
      <c r="X79" s="1217"/>
      <c r="Y79" s="1217"/>
      <c r="Z79" s="1217"/>
      <c r="AA79" s="1217"/>
      <c r="AB79" s="1217"/>
      <c r="AC79" s="1217"/>
      <c r="AD79" s="1217"/>
      <c r="AE79" s="1217"/>
      <c r="AF79" s="1217"/>
      <c r="AG79" s="1217"/>
      <c r="AH79" s="1217"/>
      <c r="AI79" s="1217"/>
      <c r="AJ79" s="1217"/>
      <c r="AK79" s="1217"/>
      <c r="AL79" s="1217"/>
      <c r="AM79" s="1217"/>
      <c r="AN79" s="1217"/>
      <c r="AO79" s="1217"/>
      <c r="AP79" s="1217"/>
      <c r="AQ79" s="1217"/>
      <c r="AR79" s="1217"/>
      <c r="AS79" s="1217"/>
      <c r="AT79" s="1217"/>
      <c r="AU79" s="15"/>
      <c r="AV79" s="15"/>
      <c r="AW79" s="15"/>
      <c r="AX79" s="15"/>
      <c r="AY79" s="15"/>
      <c r="AZ79" s="15"/>
      <c r="BD79" s="1024" t="s">
        <v>753</v>
      </c>
      <c r="BE79" s="1026">
        <f>'Points System'!AF815</f>
        <v>9</v>
      </c>
    </row>
    <row r="80" spans="1:57" ht="13" customHeight="1">
      <c r="A80" s="1217"/>
      <c r="B80" s="1217"/>
      <c r="C80" s="1217"/>
      <c r="D80" s="1217"/>
      <c r="E80" s="1217"/>
      <c r="F80" s="1217"/>
      <c r="G80" s="1217"/>
      <c r="H80" s="1217"/>
      <c r="I80" s="1217"/>
      <c r="J80" s="1217"/>
      <c r="K80" s="1217"/>
      <c r="L80" s="1217"/>
      <c r="M80" s="1217"/>
      <c r="N80" s="1217"/>
      <c r="O80" s="1217"/>
      <c r="P80" s="1217"/>
      <c r="Q80" s="1217"/>
      <c r="R80" s="1217"/>
      <c r="S80" s="1217"/>
      <c r="T80" s="1217"/>
      <c r="U80" s="1217"/>
      <c r="V80" s="1217"/>
      <c r="W80" s="1217"/>
      <c r="X80" s="1217"/>
      <c r="Y80" s="1217"/>
      <c r="Z80" s="1217"/>
      <c r="AA80" s="1217"/>
      <c r="AB80" s="1217"/>
      <c r="AC80" s="1217"/>
      <c r="AD80" s="1217"/>
      <c r="AE80" s="1217"/>
      <c r="AF80" s="1217"/>
      <c r="AG80" s="1217"/>
      <c r="AH80" s="1217"/>
      <c r="AI80" s="1217"/>
      <c r="AJ80" s="1217"/>
      <c r="AK80" s="1217"/>
      <c r="AL80" s="1217"/>
      <c r="AM80" s="1217"/>
      <c r="AN80" s="1217"/>
      <c r="AO80" s="1217"/>
      <c r="AP80" s="1217"/>
      <c r="AQ80" s="1217"/>
      <c r="AR80" s="1217"/>
      <c r="AS80" s="1217"/>
      <c r="AT80" s="1217"/>
      <c r="AU80" s="15"/>
      <c r="AV80" s="15"/>
      <c r="AW80" s="15"/>
      <c r="AX80" s="15"/>
      <c r="AY80" s="15"/>
      <c r="AZ80" s="15"/>
      <c r="BD80" s="1025" t="s">
        <v>754</v>
      </c>
      <c r="BE80" s="1026">
        <f>'Points System'!AF817</f>
        <v>10</v>
      </c>
    </row>
    <row r="81" spans="1:57" ht="13" customHeight="1">
      <c r="A81" s="1217"/>
      <c r="B81" s="1217"/>
      <c r="C81" s="1217"/>
      <c r="D81" s="1217"/>
      <c r="E81" s="1217"/>
      <c r="F81" s="1217"/>
      <c r="G81" s="1217"/>
      <c r="H81" s="1217"/>
      <c r="I81" s="1217"/>
      <c r="J81" s="1217"/>
      <c r="K81" s="1217"/>
      <c r="L81" s="1217"/>
      <c r="M81" s="1217"/>
      <c r="N81" s="1217"/>
      <c r="O81" s="1217"/>
      <c r="P81" s="1217"/>
      <c r="Q81" s="1217"/>
      <c r="R81" s="1217"/>
      <c r="S81" s="1217"/>
      <c r="T81" s="1217"/>
      <c r="U81" s="1217"/>
      <c r="V81" s="1217"/>
      <c r="W81" s="1217"/>
      <c r="X81" s="1217"/>
      <c r="Y81" s="1217"/>
      <c r="Z81" s="1217"/>
      <c r="AA81" s="1217"/>
      <c r="AB81" s="1217"/>
      <c r="AC81" s="1217"/>
      <c r="AD81" s="1217"/>
      <c r="AE81" s="1217"/>
      <c r="AF81" s="1217"/>
      <c r="AG81" s="1217"/>
      <c r="AH81" s="1217"/>
      <c r="AI81" s="1217"/>
      <c r="AJ81" s="1217"/>
      <c r="AK81" s="1217"/>
      <c r="AL81" s="1217"/>
      <c r="AM81" s="1217"/>
      <c r="AN81" s="1217"/>
      <c r="AO81" s="1217"/>
      <c r="AP81" s="1217"/>
      <c r="AQ81" s="1217"/>
      <c r="AR81" s="1217"/>
      <c r="AS81" s="1217"/>
      <c r="AT81" s="1217"/>
      <c r="AU81" s="15"/>
      <c r="AV81" s="15"/>
      <c r="AW81" s="15"/>
      <c r="AX81" s="15"/>
      <c r="AY81" s="15"/>
      <c r="AZ81" s="15"/>
      <c r="BD81" s="1024" t="s">
        <v>755</v>
      </c>
      <c r="BE81" s="1026">
        <f>'Points System'!AF818</f>
        <v>12</v>
      </c>
    </row>
    <row r="82" spans="1:57" ht="13" customHeight="1">
      <c r="A82" s="1043"/>
      <c r="C82" s="1043"/>
      <c r="D82" s="1043"/>
      <c r="E82" s="1043"/>
      <c r="F82" s="1043"/>
      <c r="G82" s="1043"/>
      <c r="H82" s="1043"/>
      <c r="I82" s="1043"/>
      <c r="J82" s="1043"/>
      <c r="K82" s="1043"/>
      <c r="L82" s="1043"/>
      <c r="M82" s="1043"/>
      <c r="N82" s="1043"/>
      <c r="O82" s="1043"/>
      <c r="P82" s="1043"/>
      <c r="Q82" s="1043"/>
      <c r="R82" s="1043"/>
      <c r="S82" s="1043"/>
      <c r="T82" s="1043"/>
      <c r="U82" s="1043"/>
      <c r="V82" s="1043"/>
      <c r="W82" s="1043"/>
      <c r="X82" s="1043"/>
      <c r="Y82" s="1043"/>
      <c r="Z82" s="1043"/>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5" t="s">
        <v>756</v>
      </c>
      <c r="BE82" s="1026">
        <f>'Points System'!AF819</f>
        <v>10</v>
      </c>
    </row>
    <row r="83" spans="1:57" ht="13" customHeight="1">
      <c r="A83" s="1217" t="s">
        <v>757</v>
      </c>
      <c r="B83" s="1217"/>
      <c r="C83" s="1217"/>
      <c r="D83" s="1217"/>
      <c r="E83" s="1217"/>
      <c r="F83" s="1217"/>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c r="AL83" s="1217"/>
      <c r="AM83" s="1217"/>
      <c r="AN83" s="1217"/>
      <c r="AO83" s="1217"/>
      <c r="AP83" s="1217"/>
      <c r="AQ83" s="1217"/>
      <c r="AR83" s="1217"/>
      <c r="AS83" s="1217"/>
      <c r="AT83" s="1217"/>
      <c r="AU83" s="15"/>
      <c r="AV83" s="15"/>
      <c r="AW83" s="15"/>
      <c r="AX83" s="15"/>
      <c r="AY83" s="15"/>
      <c r="AZ83" s="15"/>
      <c r="BD83" s="1024" t="s">
        <v>758</v>
      </c>
      <c r="BE83" s="1030">
        <f>'Tie Breaker'!H5</f>
        <v>0.76243251686281366</v>
      </c>
    </row>
    <row r="84" spans="1:57" ht="13" customHeight="1">
      <c r="A84" s="1217"/>
      <c r="B84" s="1217"/>
      <c r="C84" s="1217"/>
      <c r="D84" s="1217"/>
      <c r="E84" s="1217"/>
      <c r="F84" s="1217"/>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c r="AL84" s="1217"/>
      <c r="AM84" s="1217"/>
      <c r="AN84" s="1217"/>
      <c r="AO84" s="1217"/>
      <c r="AP84" s="1217"/>
      <c r="AQ84" s="1217"/>
      <c r="AR84" s="1217"/>
      <c r="AS84" s="1217"/>
      <c r="AT84" s="1217"/>
      <c r="AU84" s="15"/>
      <c r="AV84" s="15"/>
      <c r="AW84" s="15"/>
      <c r="AX84" s="15"/>
      <c r="AY84" s="15"/>
      <c r="AZ84" s="15"/>
      <c r="BD84" s="1025" t="s">
        <v>759</v>
      </c>
      <c r="BE84" s="1026" t="str">
        <f>Application!O153</f>
        <v>City of Visalia</v>
      </c>
    </row>
    <row r="85" spans="1:57" ht="13" customHeight="1">
      <c r="C85" s="1043"/>
      <c r="D85" s="1043"/>
      <c r="E85" s="1043"/>
      <c r="F85" s="1043"/>
      <c r="G85" s="1043"/>
      <c r="H85" s="1043"/>
      <c r="I85" s="1043"/>
      <c r="J85" s="1043"/>
      <c r="K85" s="1043"/>
      <c r="L85" s="1043"/>
      <c r="M85" s="1043"/>
      <c r="N85" s="1043"/>
      <c r="O85" s="1043"/>
      <c r="P85" s="1043"/>
      <c r="Q85" s="1043"/>
      <c r="R85" s="1043"/>
      <c r="S85" s="1043"/>
      <c r="T85" s="1043"/>
      <c r="U85" s="1043"/>
      <c r="V85" s="1043"/>
      <c r="W85" s="1043"/>
      <c r="X85" s="1043"/>
      <c r="Y85" s="1043"/>
      <c r="Z85" s="1043"/>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4" t="s">
        <v>760</v>
      </c>
      <c r="BE85" s="1026" t="str">
        <f>Application!O154</f>
        <v>Leslie Caviglia</v>
      </c>
    </row>
    <row r="86" spans="1:57" ht="13" customHeight="1">
      <c r="A86" s="1217" t="s">
        <v>761</v>
      </c>
      <c r="B86" s="1217"/>
      <c r="C86" s="1217"/>
      <c r="D86" s="1217"/>
      <c r="E86" s="1217"/>
      <c r="F86" s="1217"/>
      <c r="G86" s="1217"/>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c r="AL86" s="1217"/>
      <c r="AM86" s="1217"/>
      <c r="AN86" s="1217"/>
      <c r="AO86" s="1217"/>
      <c r="AP86" s="1217"/>
      <c r="AQ86" s="1217"/>
      <c r="AR86" s="1217"/>
      <c r="AS86" s="1217"/>
      <c r="AT86" s="1217"/>
      <c r="AU86" s="15"/>
      <c r="AV86" s="15"/>
      <c r="AW86" s="15"/>
      <c r="AX86" s="15"/>
      <c r="AY86" s="15"/>
      <c r="AZ86" s="15"/>
      <c r="BD86" s="1025" t="s">
        <v>762</v>
      </c>
      <c r="BE86" s="1026" t="str">
        <f>Application!O155</f>
        <v>City Manager</v>
      </c>
    </row>
    <row r="87" spans="1:57" ht="13" customHeight="1">
      <c r="A87" s="1217"/>
      <c r="B87" s="1217"/>
      <c r="C87" s="1217"/>
      <c r="D87" s="1217"/>
      <c r="E87" s="1217"/>
      <c r="F87" s="1217"/>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c r="AL87" s="1217"/>
      <c r="AM87" s="1217"/>
      <c r="AN87" s="1217"/>
      <c r="AO87" s="1217"/>
      <c r="AP87" s="1217"/>
      <c r="AQ87" s="1217"/>
      <c r="AR87" s="1217"/>
      <c r="AS87" s="1217"/>
      <c r="AT87" s="1217"/>
      <c r="AU87" s="15"/>
      <c r="AV87" s="15"/>
      <c r="AW87" s="15"/>
      <c r="AX87" s="15"/>
      <c r="AY87" s="15"/>
      <c r="AZ87" s="15"/>
      <c r="BD87" s="1024" t="s">
        <v>763</v>
      </c>
      <c r="BE87" s="1026" t="str">
        <f>Application!O156</f>
        <v>220 N. Santa Fe St.</v>
      </c>
    </row>
    <row r="88" spans="1:57" ht="13" customHeight="1">
      <c r="A88" s="1043"/>
      <c r="C88" s="1043"/>
      <c r="D88" s="1043"/>
      <c r="E88" s="1043"/>
      <c r="F88" s="1043"/>
      <c r="G88" s="1043"/>
      <c r="H88" s="1043"/>
      <c r="I88" s="1043"/>
      <c r="J88" s="1043"/>
      <c r="K88" s="1043"/>
      <c r="L88" s="1043"/>
      <c r="M88" s="1043"/>
      <c r="N88" s="1043"/>
      <c r="O88" s="1043"/>
      <c r="P88" s="1043"/>
      <c r="Q88" s="1043"/>
      <c r="R88" s="1043"/>
      <c r="S88" s="1043"/>
      <c r="T88" s="1043"/>
      <c r="U88" s="1043"/>
      <c r="V88" s="1043"/>
      <c r="W88" s="1043"/>
      <c r="X88" s="1043"/>
      <c r="Y88" s="1043"/>
      <c r="Z88" s="1043"/>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5" t="s">
        <v>764</v>
      </c>
      <c r="BE88" s="1026" t="str">
        <f>Application!O157</f>
        <v>Visalia</v>
      </c>
    </row>
    <row r="89" spans="1:57" ht="13" customHeight="1">
      <c r="A89" s="1503" t="s">
        <v>765</v>
      </c>
      <c r="B89" s="1503"/>
      <c r="C89" s="1503"/>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3"/>
      <c r="AR89" s="1503"/>
      <c r="AS89" s="1503"/>
      <c r="AT89" s="1503"/>
      <c r="AU89" s="13"/>
      <c r="AV89" s="13"/>
      <c r="AW89" s="13"/>
      <c r="AX89" s="13"/>
      <c r="AY89" s="13"/>
      <c r="AZ89" s="15"/>
      <c r="BD89" s="1024" t="s">
        <v>766</v>
      </c>
      <c r="BE89" s="1026">
        <f>Application!O158</f>
        <v>93292</v>
      </c>
    </row>
    <row r="90" spans="1:57" ht="13" customHeight="1">
      <c r="A90" s="1503"/>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3"/>
      <c r="AV90" s="13"/>
      <c r="AW90" s="13"/>
      <c r="AX90" s="13"/>
      <c r="AY90" s="13"/>
      <c r="AZ90" s="15"/>
      <c r="BD90" s="1025" t="s">
        <v>767</v>
      </c>
      <c r="BE90" s="1026" t="str">
        <f>Application!H16</f>
        <v>Self-Help Enterprises</v>
      </c>
    </row>
    <row r="91" spans="1:57" ht="13" customHeight="1">
      <c r="A91" s="1043"/>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4" t="s">
        <v>768</v>
      </c>
      <c r="BE91" s="1026" t="str">
        <f>Application!M233</f>
        <v>8445 W. Elowin Ct.</v>
      </c>
    </row>
    <row r="92" spans="1:57" ht="13" customHeight="1">
      <c r="A92" s="1494" t="s">
        <v>769</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5"/>
      <c r="AV92" s="15"/>
      <c r="AW92" s="15"/>
      <c r="AX92" s="15"/>
      <c r="AY92" s="15"/>
      <c r="AZ92" s="15"/>
      <c r="BD92" s="1025" t="s">
        <v>770</v>
      </c>
      <c r="BE92" s="1026" t="str">
        <f>Application!M234</f>
        <v>Visalia</v>
      </c>
    </row>
    <row r="93" spans="1:57" ht="13"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5"/>
      <c r="AV93" s="15"/>
      <c r="AW93" s="15"/>
      <c r="AX93" s="15"/>
      <c r="AY93" s="15"/>
      <c r="AZ93" s="15"/>
      <c r="BD93" s="1024" t="s">
        <v>771</v>
      </c>
      <c r="BE93" s="1026" t="str">
        <f>Application!W234</f>
        <v>CA</v>
      </c>
    </row>
    <row r="94" spans="1:57" ht="13"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5"/>
      <c r="AV94" s="15"/>
      <c r="AW94" s="15"/>
      <c r="AX94" s="15"/>
      <c r="AY94" s="15"/>
      <c r="AZ94" s="15"/>
      <c r="BD94" s="1025" t="s">
        <v>772</v>
      </c>
      <c r="BE94" s="1026">
        <f>Application!AC234</f>
        <v>93291</v>
      </c>
    </row>
    <row r="95" spans="1:57" ht="13"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5"/>
      <c r="AV95" s="15"/>
      <c r="AW95" s="15"/>
      <c r="AX95" s="15"/>
      <c r="AY95" s="15"/>
      <c r="AZ95" s="15"/>
      <c r="BD95" s="1024" t="s">
        <v>773</v>
      </c>
      <c r="BE95" s="1026" t="str">
        <f>Application!M235</f>
        <v>Betsy McGovern-Garcia</v>
      </c>
    </row>
    <row r="96" spans="1:57" ht="13"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5"/>
      <c r="AV96" s="15"/>
      <c r="AW96" s="15"/>
      <c r="AX96" s="15"/>
      <c r="AY96" s="15"/>
      <c r="AZ96" s="15"/>
      <c r="BD96" s="1025" t="s">
        <v>774</v>
      </c>
      <c r="BE96" s="1026" t="str">
        <f>Application!M237</f>
        <v>BetsyG@selfhelpenterprises.org</v>
      </c>
    </row>
    <row r="97" spans="1:57" ht="13"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5"/>
      <c r="AV97" s="15"/>
      <c r="AW97" s="15"/>
      <c r="AX97" s="15"/>
      <c r="AY97" s="15"/>
      <c r="AZ97" s="15"/>
      <c r="BD97" s="1024" t="s">
        <v>775</v>
      </c>
      <c r="BE97" s="1026" t="str">
        <f>Application!M248</f>
        <v>BetsyG@selfhelpenterprises.org</v>
      </c>
    </row>
    <row r="98" spans="1:57" ht="13"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5"/>
      <c r="AV98" s="15"/>
      <c r="AW98" s="15"/>
      <c r="AX98" s="15"/>
      <c r="AY98" s="15"/>
      <c r="AZ98" s="15"/>
      <c r="BD98" s="1025" t="s">
        <v>776</v>
      </c>
      <c r="BE98" s="1026" t="str">
        <f>Application!M256</f>
        <v>s.adams2004@comcast.net</v>
      </c>
    </row>
    <row r="99" spans="1:57" ht="13" customHeight="1">
      <c r="C99" s="1043"/>
      <c r="D99" s="1043"/>
      <c r="E99" s="1043"/>
      <c r="F99" s="1043"/>
      <c r="G99" s="1043"/>
      <c r="H99" s="1043"/>
      <c r="I99" s="1043"/>
      <c r="J99" s="1043"/>
      <c r="K99" s="1043"/>
      <c r="L99" s="1043"/>
      <c r="M99" s="1043"/>
      <c r="N99" s="1043"/>
      <c r="O99" s="1043"/>
      <c r="P99" s="1043"/>
      <c r="Q99" s="1043"/>
      <c r="R99" s="1043"/>
      <c r="S99" s="1043"/>
      <c r="T99" s="1043"/>
      <c r="U99" s="1043"/>
      <c r="V99" s="1043"/>
      <c r="W99" s="1043"/>
      <c r="X99" s="1043"/>
      <c r="Y99" s="1043"/>
      <c r="Z99" s="1043"/>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4" t="s">
        <v>777</v>
      </c>
      <c r="BE99" s="1026">
        <f>Application!M264</f>
        <v>0</v>
      </c>
    </row>
    <row r="100" spans="1:57" ht="13" customHeight="1">
      <c r="A100" s="1504" t="s">
        <v>778</v>
      </c>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c r="AT100" s="1504"/>
      <c r="AU100" s="15"/>
      <c r="AV100" s="15"/>
      <c r="AW100" s="15"/>
      <c r="AX100" s="15"/>
      <c r="AY100" s="15"/>
      <c r="AZ100" s="15"/>
      <c r="BD100" s="1025" t="s">
        <v>779</v>
      </c>
      <c r="BE100" s="1026" t="str">
        <f>Application!L279</f>
        <v>BetsyG@selfhelpenterprises.org</v>
      </c>
    </row>
    <row r="101" spans="1:57" ht="13" customHeight="1">
      <c r="A101" s="1504"/>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5"/>
      <c r="AV101" s="15"/>
      <c r="AW101" s="15"/>
      <c r="AX101" s="15"/>
      <c r="AY101" s="15"/>
      <c r="AZ101" s="15"/>
      <c r="BD101" s="2" t="s">
        <v>780</v>
      </c>
      <c r="BE101">
        <f>'Sources and Uses Budget'!C105</f>
        <v>38600081</v>
      </c>
    </row>
    <row r="102" spans="1:57" ht="13" customHeight="1">
      <c r="A102" s="1504"/>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5"/>
      <c r="AV102" s="15"/>
      <c r="AW102" s="15"/>
      <c r="AX102" s="15"/>
      <c r="AY102" s="15"/>
      <c r="AZ102" s="15"/>
      <c r="BD102" s="2" t="s">
        <v>781</v>
      </c>
      <c r="BE102" t="b">
        <f>T197="Yes"</f>
        <v>0</v>
      </c>
    </row>
    <row r="103" spans="1:57" ht="13" customHeight="1">
      <c r="A103" s="1504"/>
      <c r="B103" s="1504"/>
      <c r="C103" s="1504"/>
      <c r="D103" s="1504"/>
      <c r="E103" s="1504"/>
      <c r="F103" s="1504"/>
      <c r="G103" s="1504"/>
      <c r="H103" s="1504"/>
      <c r="I103" s="1504"/>
      <c r="J103" s="1504"/>
      <c r="K103" s="1504"/>
      <c r="L103" s="1504"/>
      <c r="M103" s="1504"/>
      <c r="N103" s="1504"/>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c r="AT103" s="1504"/>
      <c r="AU103" s="15"/>
      <c r="AV103" s="15"/>
      <c r="AW103" s="15"/>
      <c r="AX103" s="15"/>
      <c r="AY103" s="15"/>
    </row>
    <row r="104" spans="1:57" ht="13" customHeight="1">
      <c r="C104" s="1043"/>
      <c r="D104" s="1043"/>
      <c r="E104" s="1043"/>
      <c r="F104" s="1043"/>
      <c r="G104" s="1043"/>
      <c r="H104" s="1043"/>
      <c r="I104" s="1043"/>
      <c r="J104" s="1043"/>
      <c r="K104" s="1043"/>
      <c r="L104" s="1043"/>
      <c r="M104" s="1043"/>
      <c r="N104" s="1043"/>
      <c r="O104" s="1043"/>
      <c r="P104" s="1043"/>
      <c r="Q104" s="1043"/>
      <c r="R104" s="1043"/>
      <c r="S104" s="1043"/>
      <c r="T104" s="1043"/>
      <c r="U104" s="1043"/>
      <c r="V104" s="1043"/>
      <c r="W104" s="1043"/>
      <c r="X104" s="1043"/>
      <c r="Y104" s="1043"/>
      <c r="Z104" s="1043"/>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3" customHeight="1">
      <c r="A105" s="1504" t="s">
        <v>782</v>
      </c>
      <c r="B105" s="1504"/>
      <c r="C105" s="1504"/>
      <c r="D105" s="1504"/>
      <c r="E105" s="1504"/>
      <c r="F105" s="1504"/>
      <c r="G105" s="1504"/>
      <c r="H105" s="1504"/>
      <c r="I105" s="1504"/>
      <c r="J105" s="1504"/>
      <c r="K105" s="1504"/>
      <c r="L105" s="1504"/>
      <c r="M105" s="1504"/>
      <c r="N105" s="1504"/>
      <c r="O105" s="1504"/>
      <c r="P105" s="1504"/>
      <c r="Q105" s="1504"/>
      <c r="R105" s="1504"/>
      <c r="S105" s="1504"/>
      <c r="T105" s="1504"/>
      <c r="U105" s="1504"/>
      <c r="V105" s="1504"/>
      <c r="W105" s="1504"/>
      <c r="X105" s="1504"/>
      <c r="Y105" s="1504"/>
      <c r="Z105" s="1504"/>
      <c r="AA105" s="1504"/>
      <c r="AB105" s="1504"/>
      <c r="AC105" s="1504"/>
      <c r="AD105" s="1504"/>
      <c r="AE105" s="1504"/>
      <c r="AF105" s="1504"/>
      <c r="AG105" s="1504"/>
      <c r="AH105" s="1504"/>
      <c r="AI105" s="1504"/>
      <c r="AJ105" s="1504"/>
      <c r="AK105" s="1504"/>
      <c r="AL105" s="1504"/>
      <c r="AM105" s="1504"/>
      <c r="AN105" s="1504"/>
      <c r="AO105" s="1504"/>
      <c r="AP105" s="1504"/>
      <c r="AQ105" s="1504"/>
      <c r="AR105" s="1504"/>
      <c r="AS105" s="1504"/>
      <c r="AT105" s="1504"/>
      <c r="AU105" s="15"/>
      <c r="AV105" s="15"/>
      <c r="AW105" s="15"/>
      <c r="AX105" s="15"/>
      <c r="AY105" s="15"/>
    </row>
    <row r="106" spans="1:57" ht="13" customHeight="1">
      <c r="A106" s="1504"/>
      <c r="B106" s="1504"/>
      <c r="C106" s="1504"/>
      <c r="D106" s="1504"/>
      <c r="E106" s="1504"/>
      <c r="F106" s="1504"/>
      <c r="G106" s="1504"/>
      <c r="H106" s="1504"/>
      <c r="I106" s="1504"/>
      <c r="J106" s="1504"/>
      <c r="K106" s="1504"/>
      <c r="L106" s="1504"/>
      <c r="M106" s="1504"/>
      <c r="N106" s="1504"/>
      <c r="O106" s="1504"/>
      <c r="P106" s="1504"/>
      <c r="Q106" s="1504"/>
      <c r="R106" s="1504"/>
      <c r="S106" s="1504"/>
      <c r="T106" s="1504"/>
      <c r="U106" s="1504"/>
      <c r="V106" s="1504"/>
      <c r="W106" s="1504"/>
      <c r="X106" s="1504"/>
      <c r="Y106" s="1504"/>
      <c r="Z106" s="1504"/>
      <c r="AA106" s="1504"/>
      <c r="AB106" s="1504"/>
      <c r="AC106" s="1504"/>
      <c r="AD106" s="1504"/>
      <c r="AE106" s="1504"/>
      <c r="AF106" s="1504"/>
      <c r="AG106" s="1504"/>
      <c r="AH106" s="1504"/>
      <c r="AI106" s="1504"/>
      <c r="AJ106" s="1504"/>
      <c r="AK106" s="1504"/>
      <c r="AL106" s="1504"/>
      <c r="AM106" s="1504"/>
      <c r="AN106" s="1504"/>
      <c r="AO106" s="1504"/>
      <c r="AP106" s="1504"/>
      <c r="AQ106" s="1504"/>
      <c r="AR106" s="1504"/>
      <c r="AS106" s="1504"/>
      <c r="AT106" s="1504"/>
      <c r="AU106" s="15"/>
      <c r="AV106" s="15"/>
      <c r="AW106" s="15"/>
      <c r="AX106" s="15"/>
      <c r="AY106" s="15"/>
    </row>
    <row r="107" spans="1:57" ht="13" customHeight="1">
      <c r="A107" s="368"/>
      <c r="C107" s="1043"/>
      <c r="D107" s="1043"/>
      <c r="E107" s="1043"/>
      <c r="F107" s="1043"/>
      <c r="G107" s="1043"/>
      <c r="H107" s="1043"/>
      <c r="I107" s="1043"/>
      <c r="J107" s="1043"/>
      <c r="K107" s="1043"/>
      <c r="L107" s="1043"/>
      <c r="M107" s="1043"/>
      <c r="N107" s="1043"/>
      <c r="O107" s="1043"/>
      <c r="P107" s="1043"/>
      <c r="Q107" s="1043"/>
      <c r="R107" s="1043"/>
      <c r="S107" s="1043"/>
      <c r="T107" s="1043"/>
      <c r="U107" s="1043"/>
      <c r="V107" s="1043"/>
      <c r="W107" s="1043"/>
      <c r="X107" s="1043"/>
      <c r="Y107" s="1043"/>
      <c r="Z107" s="1043"/>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3" customHeight="1">
      <c r="A108" s="368" t="s">
        <v>783</v>
      </c>
      <c r="C108" s="1043"/>
      <c r="D108" s="1043"/>
      <c r="E108" s="1043"/>
      <c r="F108" s="1043"/>
      <c r="G108" s="1043"/>
      <c r="H108" s="1043"/>
      <c r="I108" s="1043"/>
      <c r="J108" s="1043"/>
      <c r="K108" s="1043"/>
      <c r="L108" s="1043"/>
      <c r="M108" s="1043"/>
      <c r="N108" s="1043"/>
      <c r="O108" s="1043"/>
      <c r="P108" s="1043"/>
      <c r="Q108" s="1043"/>
      <c r="R108" s="1043"/>
      <c r="S108" s="1043"/>
      <c r="T108" s="1043"/>
      <c r="U108" s="1043"/>
      <c r="V108" s="1043"/>
      <c r="W108" s="1043"/>
      <c r="X108" s="1043"/>
      <c r="Y108" s="1043"/>
      <c r="Z108" s="1043"/>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3" customHeight="1">
      <c r="C109" s="1043"/>
      <c r="D109" s="1043"/>
      <c r="E109" s="1043"/>
      <c r="F109" s="1043"/>
      <c r="G109" s="1043"/>
      <c r="H109" s="1043"/>
      <c r="I109" s="1043"/>
      <c r="J109" s="1043"/>
      <c r="K109" s="1043"/>
      <c r="L109" s="1043"/>
      <c r="M109" s="1043"/>
      <c r="N109" s="1043"/>
      <c r="O109" s="1043"/>
      <c r="P109" s="1043"/>
      <c r="Q109" s="1043"/>
      <c r="R109" s="1043"/>
      <c r="S109" s="1043"/>
      <c r="T109" s="1043"/>
      <c r="U109" s="1043"/>
      <c r="V109" s="1043"/>
      <c r="W109" s="1043"/>
      <c r="X109" s="1043"/>
      <c r="Y109" s="1043"/>
      <c r="Z109" s="1043"/>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3" customHeight="1">
      <c r="A110" s="368"/>
      <c r="C110" s="1043"/>
      <c r="D110" s="1043"/>
      <c r="E110" s="1043"/>
      <c r="F110" s="1043"/>
      <c r="G110" s="1043"/>
      <c r="H110" s="1043"/>
      <c r="I110" s="1043"/>
      <c r="J110" s="1043"/>
      <c r="K110" s="1043"/>
      <c r="L110" s="1043"/>
      <c r="M110" s="1043"/>
      <c r="N110" s="1043"/>
      <c r="O110" s="1043"/>
      <c r="P110" s="1043"/>
      <c r="Q110" s="1043"/>
      <c r="R110" s="1043"/>
      <c r="S110" s="1043"/>
      <c r="T110" s="1043"/>
      <c r="U110" s="1043"/>
      <c r="V110" s="1043"/>
      <c r="W110" s="1043"/>
      <c r="X110" s="1043"/>
      <c r="Y110" s="1043"/>
      <c r="Z110" s="1043"/>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3" customHeight="1">
      <c r="A111" s="368"/>
      <c r="C111" s="1043"/>
      <c r="D111" s="1043"/>
      <c r="E111" s="1043"/>
      <c r="F111" s="1043"/>
      <c r="G111" s="1043"/>
      <c r="H111" s="1043"/>
      <c r="I111" s="1043"/>
      <c r="J111" s="1043"/>
      <c r="K111" s="1043"/>
      <c r="L111" s="1043"/>
      <c r="M111" s="1043"/>
      <c r="N111" s="1043"/>
      <c r="O111" s="1043"/>
      <c r="P111" s="1043"/>
      <c r="Q111" s="1043"/>
      <c r="R111" s="1043"/>
      <c r="S111" s="1043"/>
      <c r="T111" s="1043"/>
      <c r="U111" s="1043"/>
      <c r="V111" s="1043"/>
      <c r="W111" s="1043"/>
      <c r="X111" s="1043"/>
      <c r="Y111" s="1043"/>
      <c r="Z111" s="1043"/>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8"/>
      <c r="C112" s="1043"/>
      <c r="D112" s="1043"/>
      <c r="E112" s="1043"/>
      <c r="F112" s="1043"/>
      <c r="G112" s="1043"/>
      <c r="H112" s="1043"/>
      <c r="I112" s="1043"/>
      <c r="J112" s="1043"/>
      <c r="K112" s="1043"/>
      <c r="L112" s="1043"/>
      <c r="M112" s="1043"/>
      <c r="N112" s="1043"/>
      <c r="O112" s="1043"/>
      <c r="P112" s="1043"/>
      <c r="Q112" s="1043"/>
      <c r="R112" s="1043"/>
      <c r="S112" s="1043"/>
      <c r="T112" s="1043"/>
      <c r="U112" s="1043"/>
      <c r="V112" s="1043"/>
      <c r="W112" s="1043"/>
      <c r="X112" s="1043"/>
      <c r="Y112" s="1043"/>
      <c r="Z112" s="1043"/>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4"/>
      <c r="C113" s="2" t="s">
        <v>784</v>
      </c>
      <c r="G113" s="1496">
        <v>17</v>
      </c>
      <c r="H113" s="1496"/>
      <c r="I113" s="2" t="s">
        <v>785</v>
      </c>
      <c r="L113" s="1496" t="s">
        <v>786</v>
      </c>
      <c r="M113" s="1496"/>
      <c r="N113" s="1496"/>
      <c r="O113" s="1496"/>
      <c r="P113" s="1510" t="s">
        <v>787</v>
      </c>
      <c r="Q113" s="1510"/>
      <c r="R113" s="1510"/>
      <c r="S113" s="1510"/>
      <c r="T113" s="1043"/>
      <c r="U113" s="1043"/>
      <c r="V113" s="1043"/>
      <c r="W113" s="1043"/>
      <c r="X113" s="1043"/>
      <c r="Y113" s="1043"/>
      <c r="Z113" s="1043"/>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043"/>
      <c r="U114" s="1043"/>
      <c r="V114" s="1043"/>
      <c r="W114" s="1043"/>
      <c r="X114" s="1043"/>
      <c r="Y114" s="1043"/>
      <c r="Z114" s="1043"/>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043"/>
      <c r="C115" s="1497" t="s">
        <v>788</v>
      </c>
      <c r="D115" s="1497"/>
      <c r="E115" s="1497"/>
      <c r="F115" s="1497"/>
      <c r="G115" s="1497"/>
      <c r="H115" s="1497"/>
      <c r="I115" s="1497"/>
      <c r="J115" s="1497"/>
      <c r="K115" s="1497"/>
      <c r="L115" s="112" t="s">
        <v>789</v>
      </c>
      <c r="S115" s="2"/>
      <c r="T115" s="1043"/>
      <c r="U115" s="1043"/>
      <c r="V115" s="1043"/>
      <c r="W115" s="1043"/>
      <c r="X115" s="1043"/>
      <c r="Y115" s="1043"/>
      <c r="Z115" s="1043"/>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043"/>
      <c r="C116" s="1043"/>
      <c r="D116" s="1043"/>
      <c r="E116" s="1043"/>
      <c r="F116" s="1043"/>
      <c r="G116" s="1043"/>
      <c r="H116" s="1043"/>
      <c r="I116" s="1043"/>
      <c r="J116" s="1043"/>
      <c r="K116" s="1043"/>
      <c r="L116" s="1043"/>
      <c r="M116" s="1043"/>
      <c r="N116" s="1043"/>
      <c r="O116" s="1043"/>
      <c r="P116" s="1043"/>
      <c r="Q116" s="1043"/>
      <c r="R116" s="1043"/>
      <c r="S116" s="1043"/>
      <c r="T116" s="1043"/>
      <c r="U116" s="1043"/>
      <c r="V116" s="1043"/>
      <c r="W116" s="1043"/>
      <c r="X116" s="1043"/>
      <c r="Y116" s="1043"/>
      <c r="Z116" s="1043"/>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043"/>
      <c r="B117" s="17"/>
      <c r="C117" s="17"/>
      <c r="X117" s="2" t="s">
        <v>790</v>
      </c>
      <c r="Y117" s="1496"/>
      <c r="Z117" s="1496"/>
      <c r="AA117" s="1496"/>
      <c r="AB117" s="1496"/>
      <c r="AC117" s="1496"/>
      <c r="AD117" s="1496"/>
      <c r="AE117" s="1496"/>
      <c r="AF117" s="1496"/>
      <c r="AG117" s="1496"/>
      <c r="AH117" s="1496"/>
      <c r="AI117" s="1496"/>
      <c r="AJ117" s="1496"/>
      <c r="AK117" s="1496"/>
    </row>
    <row r="118" spans="1:117" ht="13" customHeight="1">
      <c r="X118" s="2"/>
      <c r="Y118" s="2"/>
      <c r="Z118" s="2" t="s">
        <v>791</v>
      </c>
      <c r="AA118" s="2"/>
      <c r="AB118" s="2"/>
      <c r="AC118" s="2"/>
      <c r="AD118" s="2"/>
      <c r="AE118" s="2"/>
      <c r="AF118" s="2"/>
      <c r="AG118" s="2"/>
      <c r="AH118" s="2"/>
      <c r="AI118" s="2"/>
      <c r="AJ118" s="2"/>
      <c r="AK118" s="2"/>
    </row>
    <row r="119" spans="1:117" ht="13" customHeight="1">
      <c r="A119" s="1043"/>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043"/>
      <c r="B120" s="2"/>
      <c r="P120" s="2"/>
      <c r="Q120" s="2"/>
      <c r="R120" s="2"/>
      <c r="S120" s="2"/>
      <c r="T120" s="2"/>
      <c r="U120" s="2"/>
      <c r="V120" s="2"/>
      <c r="W120" s="2"/>
      <c r="X120" s="2"/>
      <c r="Y120" s="1496" t="s">
        <v>792</v>
      </c>
      <c r="Z120" s="1496"/>
      <c r="AA120" s="1496"/>
      <c r="AB120" s="1496"/>
      <c r="AC120" s="1496"/>
      <c r="AD120" s="1496"/>
      <c r="AE120" s="1496"/>
      <c r="AF120" s="1496"/>
      <c r="AG120" s="1496"/>
      <c r="AH120" s="1496"/>
      <c r="AI120" s="1496"/>
      <c r="AJ120" s="1496"/>
      <c r="AK120" s="1496"/>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793</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794</v>
      </c>
      <c r="CR122" s="11"/>
      <c r="CS122" s="11"/>
      <c r="CT122" s="11"/>
      <c r="CU122" s="1631" t="s">
        <v>795</v>
      </c>
      <c r="CV122" s="1632"/>
      <c r="CW122" s="11"/>
      <c r="CX122" s="11" t="s">
        <v>796</v>
      </c>
      <c r="CY122" s="11"/>
      <c r="CZ122" s="11"/>
      <c r="DA122" s="11"/>
      <c r="DB122" s="11"/>
      <c r="DC122" s="11"/>
      <c r="DD122" s="11"/>
      <c r="DE122" s="11"/>
      <c r="DF122" s="11"/>
      <c r="DG122" s="1628" t="str">
        <f>T189</f>
        <v>Tulare</v>
      </c>
      <c r="DH122" s="1629"/>
      <c r="DI122" s="1629"/>
      <c r="DJ122" s="1629"/>
      <c r="DK122" s="1629"/>
      <c r="DL122" s="1629"/>
      <c r="DM122" s="1630"/>
    </row>
    <row r="123" spans="1:117" ht="13" customHeight="1">
      <c r="A123" s="2"/>
      <c r="B123" s="2"/>
      <c r="T123" s="2"/>
      <c r="U123" s="2"/>
      <c r="V123" s="2"/>
      <c r="W123" s="2"/>
      <c r="X123" s="2"/>
      <c r="Y123" s="1496" t="s">
        <v>797</v>
      </c>
      <c r="Z123" s="1496"/>
      <c r="AA123" s="1496"/>
      <c r="AB123" s="1496"/>
      <c r="AC123" s="1496"/>
      <c r="AD123" s="1496"/>
      <c r="AE123" s="1496"/>
      <c r="AF123" s="1496"/>
      <c r="AG123" s="1496"/>
      <c r="AH123" s="1496"/>
      <c r="AI123" s="1496"/>
      <c r="AJ123" s="1496"/>
      <c r="AK123" s="1496"/>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798</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795</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799</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795</v>
      </c>
      <c r="DD127" s="2"/>
      <c r="DE127" s="2"/>
      <c r="DF127" s="2"/>
      <c r="DG127" s="2"/>
      <c r="DH127" s="2"/>
      <c r="DI127" s="2"/>
      <c r="DJ127" s="2"/>
      <c r="DK127" s="2"/>
      <c r="DL127" s="2"/>
      <c r="DM127" s="2"/>
    </row>
    <row r="128" spans="1:117" ht="13" customHeight="1">
      <c r="A128" s="1068"/>
      <c r="AL128" s="1068"/>
      <c r="AM128" s="1068"/>
      <c r="AN128" s="1068"/>
      <c r="AO128" s="1068"/>
      <c r="AP128" s="1068"/>
      <c r="AQ128" s="1068"/>
      <c r="AR128" s="1068"/>
      <c r="AS128" s="1068"/>
      <c r="AT128" s="1068"/>
      <c r="AU128" s="1068"/>
      <c r="AV128" s="1068"/>
      <c r="AW128" s="1068"/>
      <c r="AX128" s="1068"/>
      <c r="AY128" s="1068"/>
    </row>
    <row r="129" spans="1:51" ht="13" customHeight="1">
      <c r="A129" s="1068"/>
      <c r="B129" s="2"/>
      <c r="R129" s="1068"/>
      <c r="S129" s="1068"/>
      <c r="T129" s="1068"/>
      <c r="U129" s="1068"/>
      <c r="V129" s="1068"/>
      <c r="W129" s="1068"/>
      <c r="AL129" s="1068"/>
      <c r="AM129" s="1068"/>
      <c r="AN129" s="1068"/>
      <c r="AO129" s="1068"/>
      <c r="AP129" s="1068"/>
      <c r="AQ129" s="1068"/>
      <c r="AR129" s="1068"/>
      <c r="AS129" s="1068"/>
      <c r="AT129" s="1068"/>
      <c r="AU129" s="1068"/>
      <c r="AV129" s="1068"/>
      <c r="AW129" s="1068"/>
      <c r="AX129" s="1068"/>
      <c r="AY129" s="1068"/>
    </row>
    <row r="130" spans="1:51" ht="13" customHeight="1">
      <c r="A130" s="2"/>
      <c r="B130" s="68"/>
      <c r="C130" s="1068"/>
      <c r="R130" s="1068"/>
      <c r="S130" s="1068"/>
      <c r="T130" s="1068"/>
      <c r="U130" s="1068"/>
      <c r="V130" s="1068"/>
      <c r="W130" s="1068"/>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044"/>
      <c r="U139" s="1044"/>
      <c r="V139" s="1044"/>
      <c r="W139" s="1044"/>
      <c r="X139" s="1044"/>
      <c r="Y139" s="1044"/>
      <c r="Z139" s="1044"/>
      <c r="AA139" s="1044"/>
      <c r="AB139" s="1044"/>
      <c r="AC139" s="1044"/>
      <c r="AD139" s="1044"/>
      <c r="AE139" s="1044"/>
      <c r="AF139" s="1044"/>
      <c r="AG139" s="1044"/>
      <c r="AH139" s="1044"/>
      <c r="AI139" s="1044"/>
      <c r="AJ139" s="1044"/>
      <c r="AK139" s="2"/>
      <c r="AL139" s="2"/>
      <c r="AM139" s="2"/>
      <c r="AN139" s="2"/>
      <c r="AO139" s="2"/>
      <c r="AP139" s="2"/>
      <c r="AQ139" s="2"/>
      <c r="AR139" s="2"/>
      <c r="AS139" s="2"/>
      <c r="AT139" s="2"/>
      <c r="AU139" s="2"/>
      <c r="AV139" s="2"/>
      <c r="AW139" s="2"/>
      <c r="AX139" s="2"/>
      <c r="AY139" s="2"/>
    </row>
    <row r="140" spans="1:51" ht="13" customHeight="1">
      <c r="A140" s="2"/>
      <c r="B140" s="69"/>
      <c r="C140" s="1044"/>
      <c r="D140" s="1044"/>
      <c r="E140" s="1044"/>
      <c r="F140" s="1044"/>
      <c r="G140" s="1044"/>
      <c r="H140" s="1044"/>
      <c r="I140" s="1044"/>
      <c r="J140" s="1044"/>
      <c r="K140" s="1044"/>
      <c r="L140" s="1044"/>
      <c r="M140" s="1044"/>
      <c r="N140" s="1044"/>
      <c r="O140" s="1044"/>
      <c r="P140" s="1044"/>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44"/>
      <c r="AK140" s="2"/>
      <c r="AL140" s="2"/>
      <c r="AM140" s="2"/>
      <c r="AN140" s="2"/>
      <c r="AO140" s="2"/>
      <c r="AP140" s="2"/>
      <c r="AQ140" s="2"/>
      <c r="AR140" s="2"/>
      <c r="AS140" s="2"/>
      <c r="AT140" s="2"/>
      <c r="AU140" s="2"/>
      <c r="AV140" s="2"/>
      <c r="AW140" s="2"/>
      <c r="AX140" s="2"/>
      <c r="AY140" s="2"/>
    </row>
    <row r="141" spans="1:51" ht="13" customHeight="1">
      <c r="A141" s="2"/>
      <c r="B141" s="69"/>
      <c r="C141" s="1044"/>
      <c r="D141" s="1044"/>
      <c r="E141" s="1044"/>
      <c r="F141" s="1044"/>
      <c r="G141" s="1044"/>
      <c r="H141" s="1044"/>
      <c r="I141" s="1044"/>
      <c r="J141" s="1044"/>
      <c r="K141" s="1044"/>
      <c r="L141" s="1044"/>
      <c r="M141" s="1044"/>
      <c r="N141" s="1044"/>
      <c r="O141" s="1044"/>
      <c r="P141" s="1044"/>
      <c r="Q141" s="1044"/>
      <c r="R141" s="1044"/>
      <c r="S141" s="1044"/>
      <c r="T141" s="1044"/>
      <c r="U141" s="1044"/>
      <c r="V141" s="1044"/>
      <c r="W141" s="1044"/>
      <c r="X141" s="1044"/>
      <c r="Y141" s="1044"/>
      <c r="Z141" s="1044"/>
      <c r="AA141" s="1044"/>
      <c r="AB141" s="1044"/>
      <c r="AC141" s="1044"/>
      <c r="AD141" s="1044"/>
      <c r="AE141" s="1044"/>
      <c r="AF141" s="1044"/>
      <c r="AG141" s="1044"/>
      <c r="AH141" s="1044"/>
      <c r="AI141" s="1044"/>
      <c r="AJ141" s="1044"/>
      <c r="AK141" s="2"/>
      <c r="AL141" s="2"/>
      <c r="AM141" s="2"/>
      <c r="AN141" s="2"/>
      <c r="AO141" s="2"/>
      <c r="AP141" s="2"/>
      <c r="AQ141" s="2"/>
      <c r="AR141" s="2"/>
      <c r="AS141" s="2"/>
      <c r="AT141" s="2"/>
      <c r="AU141" s="2"/>
      <c r="AV141" s="2"/>
      <c r="AW141" s="2"/>
      <c r="AX141" s="2"/>
      <c r="AY141" s="2"/>
    </row>
    <row r="142" spans="1:51" ht="13"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 customHeight="1">
      <c r="A144" s="2"/>
      <c r="B144" s="1043"/>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108" ht="13"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108" ht="13"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108" ht="13" customHeight="1">
      <c r="A147" s="2"/>
      <c r="B147" s="104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BN147" s="2" t="s">
        <v>478</v>
      </c>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t="s">
        <v>800</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801</v>
      </c>
    </row>
    <row r="150" spans="1:108" ht="13" customHeight="1">
      <c r="A150" s="2"/>
      <c r="B150" s="2"/>
      <c r="D150" s="2"/>
      <c r="E150" s="2"/>
      <c r="F150" s="1395"/>
      <c r="G150" s="1395"/>
      <c r="H150" s="1395"/>
      <c r="I150" s="1395"/>
      <c r="J150" s="1395"/>
      <c r="K150" s="1395"/>
      <c r="L150" s="1395"/>
      <c r="M150" s="1395"/>
      <c r="N150" s="1395"/>
      <c r="O150" s="1395"/>
      <c r="P150" s="1395"/>
      <c r="Q150" s="1395"/>
      <c r="R150" s="1395"/>
      <c r="S150" s="1395"/>
      <c r="T150" s="1395"/>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063"/>
      <c r="G151" s="1063"/>
      <c r="H151" s="1063"/>
      <c r="I151" s="1063"/>
      <c r="J151" s="1063"/>
      <c r="K151" s="1063"/>
      <c r="L151" s="1063"/>
      <c r="M151" s="1063"/>
      <c r="N151" s="1063"/>
      <c r="O151" s="1063"/>
      <c r="P151" s="1063"/>
      <c r="Q151" s="1063"/>
      <c r="R151" s="1063"/>
      <c r="S151" s="1063"/>
      <c r="T151" s="1063"/>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802</v>
      </c>
    </row>
    <row r="152" spans="1:108" ht="13" customHeight="1">
      <c r="BM152">
        <v>4</v>
      </c>
      <c r="BN152" s="2" t="s">
        <v>803</v>
      </c>
    </row>
    <row r="153" spans="1:108" ht="13" customHeight="1">
      <c r="D153" t="s">
        <v>804</v>
      </c>
      <c r="O153" s="1471" t="s">
        <v>805</v>
      </c>
      <c r="P153" s="1471"/>
      <c r="Q153" s="1471"/>
      <c r="R153" s="1471"/>
      <c r="S153" s="1471"/>
      <c r="T153" s="1471"/>
      <c r="U153" s="1471"/>
      <c r="V153" s="1471"/>
      <c r="W153" s="1471"/>
      <c r="X153" s="1471"/>
      <c r="Y153" s="1471"/>
      <c r="Z153" s="1471"/>
      <c r="AA153" s="1471"/>
      <c r="AB153" s="1471"/>
      <c r="AC153" s="1471"/>
      <c r="AD153" s="1471"/>
      <c r="AE153" s="1471"/>
      <c r="AF153" s="1471"/>
      <c r="AG153" s="1471"/>
      <c r="AH153" s="1471"/>
      <c r="BM153">
        <v>5</v>
      </c>
      <c r="BN153" s="2" t="s">
        <v>806</v>
      </c>
      <c r="CR153" s="24" t="s">
        <v>807</v>
      </c>
      <c r="CS153" s="25"/>
      <c r="CT153" s="25"/>
      <c r="CU153" s="25"/>
      <c r="CV153" s="25"/>
      <c r="CW153" s="25"/>
      <c r="CX153" s="11"/>
      <c r="CY153" s="24" t="s">
        <v>808</v>
      </c>
      <c r="CZ153" s="11"/>
      <c r="DA153" s="11"/>
      <c r="DB153" s="11"/>
      <c r="DC153" s="11"/>
      <c r="DD153" s="11"/>
    </row>
    <row r="154" spans="1:108" ht="13" customHeight="1">
      <c r="D154" s="185" t="s">
        <v>809</v>
      </c>
      <c r="O154" s="1370" t="s">
        <v>810</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2" t="s">
        <v>811</v>
      </c>
      <c r="CR154" s="24"/>
      <c r="CS154" s="25"/>
      <c r="CT154" s="25"/>
      <c r="CU154" s="25"/>
      <c r="CV154" s="25"/>
      <c r="CW154" s="25"/>
      <c r="CX154" s="11"/>
      <c r="CY154" s="24"/>
      <c r="CZ154" s="11"/>
      <c r="DA154" s="11"/>
      <c r="DB154" s="11"/>
      <c r="DC154" s="11"/>
      <c r="DD154" s="11"/>
    </row>
    <row r="155" spans="1:108" ht="13" customHeight="1">
      <c r="D155" s="6" t="s">
        <v>812</v>
      </c>
      <c r="F155" s="6"/>
      <c r="G155" s="6"/>
      <c r="H155" s="6"/>
      <c r="I155" s="6"/>
      <c r="J155" s="6"/>
      <c r="K155" s="6"/>
      <c r="L155" s="6"/>
      <c r="M155" s="6"/>
      <c r="N155" s="6"/>
      <c r="O155" s="1513" t="s">
        <v>813</v>
      </c>
      <c r="P155" s="1513"/>
      <c r="Q155" s="1513"/>
      <c r="R155" s="1513"/>
      <c r="S155" s="1513"/>
      <c r="T155" s="1513"/>
      <c r="U155" s="1513"/>
      <c r="V155" s="1513"/>
      <c r="W155" s="1513"/>
      <c r="X155" s="1513"/>
      <c r="Y155" s="1513"/>
      <c r="Z155" s="1513"/>
      <c r="AA155" s="1513"/>
      <c r="AB155" s="1513"/>
      <c r="AC155" s="1513"/>
      <c r="AD155" s="1513"/>
      <c r="AE155" s="1513"/>
      <c r="AF155" s="1513"/>
      <c r="AG155" s="1513"/>
      <c r="AH155" s="1513"/>
      <c r="BM155">
        <v>7</v>
      </c>
      <c r="CR155" s="24"/>
      <c r="CS155" s="25"/>
      <c r="CT155" s="25"/>
      <c r="CU155" s="25"/>
      <c r="CV155" s="25"/>
      <c r="CW155" s="25"/>
      <c r="CX155" s="11"/>
      <c r="CY155" s="24"/>
      <c r="CZ155" s="11"/>
      <c r="DA155" s="11"/>
      <c r="DB155" s="11"/>
      <c r="DC155" s="11"/>
      <c r="DD155" s="11"/>
    </row>
    <row r="156" spans="1:108" ht="13" customHeight="1">
      <c r="D156" t="s">
        <v>814</v>
      </c>
      <c r="O156" s="1369" t="s">
        <v>815</v>
      </c>
      <c r="P156" s="1369"/>
      <c r="Q156" s="1369"/>
      <c r="R156" s="1369"/>
      <c r="S156" s="1369"/>
      <c r="T156" s="1369"/>
      <c r="U156" s="1369"/>
      <c r="V156" s="1369"/>
      <c r="W156" s="1369"/>
      <c r="X156" s="1369"/>
      <c r="Y156" s="1369"/>
      <c r="Z156" s="1369"/>
      <c r="AA156" s="1369"/>
      <c r="AB156" s="1369"/>
      <c r="AC156" s="1369"/>
      <c r="AD156" s="1369"/>
      <c r="AE156" s="1369"/>
      <c r="AF156" s="1369"/>
      <c r="AG156" s="1369"/>
      <c r="AH156" s="1369"/>
      <c r="BT156" t="s">
        <v>478</v>
      </c>
      <c r="CB156" s="109" t="s">
        <v>816</v>
      </c>
      <c r="CC156" s="110"/>
      <c r="CD156" s="110"/>
      <c r="CE156" s="110"/>
      <c r="CF156" s="110"/>
      <c r="CG156" s="110"/>
      <c r="CH156" s="110"/>
      <c r="CI156" s="2"/>
      <c r="CJ156" s="109" t="s">
        <v>817</v>
      </c>
      <c r="CK156" s="2"/>
      <c r="CL156" s="2"/>
      <c r="CM156" s="2"/>
      <c r="CN156" s="2"/>
      <c r="CR156" s="24"/>
      <c r="CS156" s="25"/>
      <c r="CT156" s="25"/>
      <c r="CU156" s="25"/>
      <c r="CV156" s="25"/>
      <c r="CW156" s="25"/>
      <c r="CX156" s="11"/>
      <c r="CY156" s="24"/>
      <c r="CZ156" s="11"/>
      <c r="DA156" s="11"/>
      <c r="DB156" s="11"/>
      <c r="DC156" s="11"/>
      <c r="DD156" s="11"/>
    </row>
    <row r="157" spans="1:108" ht="13" customHeight="1">
      <c r="D157" t="s">
        <v>818</v>
      </c>
      <c r="O157" s="1471" t="s">
        <v>788</v>
      </c>
      <c r="P157" s="1471"/>
      <c r="Q157" s="1471"/>
      <c r="R157" s="1471"/>
      <c r="S157" s="1471"/>
      <c r="T157" s="1471"/>
      <c r="U157" s="1471"/>
      <c r="V157" s="1471"/>
      <c r="W157" s="1471"/>
      <c r="X157" s="1471"/>
      <c r="Y157" s="6"/>
      <c r="Z157" s="6"/>
      <c r="AA157" s="6"/>
      <c r="AB157" s="6"/>
      <c r="AC157" s="6"/>
      <c r="AD157" s="6"/>
      <c r="AE157" s="6"/>
      <c r="AF157" s="6"/>
      <c r="BN157" s="111" t="s">
        <v>819</v>
      </c>
      <c r="BS157">
        <v>2</v>
      </c>
      <c r="BT157" t="s">
        <v>820</v>
      </c>
      <c r="CB157" s="171" t="s">
        <v>821</v>
      </c>
      <c r="CC157" s="110"/>
      <c r="CD157" s="110"/>
      <c r="CE157" s="110"/>
      <c r="CF157" s="110"/>
      <c r="CG157" s="110"/>
      <c r="CH157" s="110"/>
      <c r="CI157" s="2"/>
      <c r="CJ157" s="171" t="s">
        <v>822</v>
      </c>
      <c r="CK157" s="2"/>
      <c r="CL157" s="2"/>
      <c r="CM157" s="2"/>
      <c r="CN157" s="2"/>
      <c r="CR157" s="11"/>
      <c r="CS157" s="25"/>
      <c r="CT157" s="25"/>
      <c r="CU157" s="25"/>
      <c r="CV157" s="25"/>
      <c r="CW157" s="25"/>
      <c r="CX157" s="11"/>
      <c r="CY157" s="11"/>
      <c r="CZ157" s="11"/>
      <c r="DA157" s="11"/>
      <c r="DB157" s="11"/>
      <c r="DC157" s="11"/>
      <c r="DD157" s="11"/>
    </row>
    <row r="158" spans="1:108" ht="13" customHeight="1">
      <c r="D158" t="s">
        <v>823</v>
      </c>
      <c r="O158" s="1507">
        <v>93292</v>
      </c>
      <c r="P158" s="1507"/>
      <c r="Q158" s="1507"/>
      <c r="R158" s="1507"/>
      <c r="S158" s="7"/>
      <c r="T158" s="7"/>
      <c r="U158" s="7"/>
      <c r="V158" s="7"/>
      <c r="W158" s="7"/>
      <c r="X158" s="7"/>
      <c r="Y158" s="7"/>
      <c r="Z158" s="7"/>
      <c r="AA158" s="7"/>
      <c r="AB158" s="7"/>
      <c r="AC158" s="7"/>
      <c r="AD158" s="7"/>
      <c r="AE158" s="7"/>
      <c r="AF158" s="7"/>
      <c r="BN158" s="111" t="s">
        <v>824</v>
      </c>
      <c r="BS158">
        <v>7</v>
      </c>
      <c r="BT158" t="s">
        <v>825</v>
      </c>
      <c r="CB158" s="1147"/>
      <c r="CC158" s="1148"/>
      <c r="CD158" s="1149"/>
      <c r="CE158" s="1149"/>
      <c r="CF158" s="1149"/>
      <c r="CG158" s="1149"/>
      <c r="CH158" s="1149"/>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thickBot="1">
      <c r="D159" t="s">
        <v>826</v>
      </c>
      <c r="O159" s="1501" t="s">
        <v>827</v>
      </c>
      <c r="P159" s="1501"/>
      <c r="Q159" s="1501"/>
      <c r="R159" s="1501"/>
      <c r="S159" s="1501"/>
      <c r="T159" s="1501"/>
      <c r="V159" s="56" t="s">
        <v>828</v>
      </c>
      <c r="W159" s="1508"/>
      <c r="X159" s="1508"/>
      <c r="Y159" s="8"/>
      <c r="Z159" s="8"/>
      <c r="AA159" s="8"/>
      <c r="AB159" s="8"/>
      <c r="AC159" s="8"/>
      <c r="AD159" s="8"/>
      <c r="AE159" s="8"/>
      <c r="AF159" s="8"/>
      <c r="BN159" s="111" t="s">
        <v>829</v>
      </c>
      <c r="BS159">
        <v>7</v>
      </c>
      <c r="BT159" t="s">
        <v>830</v>
      </c>
      <c r="CB159" s="221" t="s">
        <v>831</v>
      </c>
      <c r="CC159" s="222" t="s">
        <v>832</v>
      </c>
      <c r="CD159" s="222" t="s">
        <v>833</v>
      </c>
      <c r="CE159" s="222" t="s">
        <v>834</v>
      </c>
      <c r="CF159" s="222" t="s">
        <v>835</v>
      </c>
      <c r="CG159" s="222" t="s">
        <v>836</v>
      </c>
      <c r="CH159" s="222" t="s">
        <v>837</v>
      </c>
      <c r="CI159" s="2"/>
      <c r="CJ159" s="222" t="s">
        <v>832</v>
      </c>
      <c r="CK159" s="222" t="s">
        <v>833</v>
      </c>
      <c r="CL159" s="222" t="s">
        <v>834</v>
      </c>
      <c r="CM159" s="222" t="s">
        <v>835</v>
      </c>
      <c r="CN159" s="222" t="s">
        <v>836</v>
      </c>
      <c r="CR159" s="11"/>
      <c r="CS159" s="1150" t="s">
        <v>838</v>
      </c>
      <c r="CT159" s="1151" t="s">
        <v>833</v>
      </c>
      <c r="CU159" s="1151" t="s">
        <v>834</v>
      </c>
      <c r="CV159" s="1151" t="s">
        <v>835</v>
      </c>
      <c r="CW159" s="1151" t="s">
        <v>839</v>
      </c>
      <c r="CX159" s="11"/>
      <c r="CY159" s="11"/>
      <c r="CZ159" s="1150" t="s">
        <v>838</v>
      </c>
      <c r="DA159" s="1151" t="s">
        <v>833</v>
      </c>
      <c r="DB159" s="1151" t="s">
        <v>834</v>
      </c>
      <c r="DC159" s="1151" t="s">
        <v>835</v>
      </c>
      <c r="DD159" s="1151" t="s">
        <v>839</v>
      </c>
    </row>
    <row r="160" spans="1:108" ht="13" customHeight="1">
      <c r="D160" t="s">
        <v>840</v>
      </c>
      <c r="O160" s="1501"/>
      <c r="P160" s="1501"/>
      <c r="Q160" s="1501"/>
      <c r="R160" s="1501"/>
      <c r="S160" s="1501"/>
      <c r="T160" s="1501"/>
      <c r="U160" s="8"/>
      <c r="V160" s="8"/>
      <c r="W160" s="8"/>
      <c r="X160" s="8"/>
      <c r="Y160" s="8"/>
      <c r="Z160" s="8"/>
      <c r="AA160" s="8"/>
      <c r="AB160" s="8"/>
      <c r="AC160" s="8"/>
      <c r="AD160" s="8"/>
      <c r="AE160" s="8"/>
      <c r="AF160" s="8"/>
      <c r="BN160" s="111" t="s">
        <v>841</v>
      </c>
      <c r="BS160">
        <v>6</v>
      </c>
      <c r="BT160" t="s">
        <v>842</v>
      </c>
      <c r="CB160" s="223" t="s">
        <v>820</v>
      </c>
      <c r="CC160" s="313">
        <v>2724</v>
      </c>
      <c r="CD160" s="314">
        <v>2920</v>
      </c>
      <c r="CE160" s="315">
        <v>3504</v>
      </c>
      <c r="CF160" s="314">
        <v>4048</v>
      </c>
      <c r="CG160" s="315">
        <v>4516</v>
      </c>
      <c r="CH160" s="316">
        <v>4982</v>
      </c>
      <c r="CI160" s="2"/>
      <c r="CJ160" s="683">
        <v>1825</v>
      </c>
      <c r="CK160" s="683">
        <v>2131</v>
      </c>
      <c r="CL160" s="683">
        <v>2590</v>
      </c>
      <c r="CM160" s="683">
        <v>3342</v>
      </c>
      <c r="CN160" s="683">
        <v>3954</v>
      </c>
      <c r="CR160" s="111" t="s">
        <v>819</v>
      </c>
      <c r="CS160" s="202">
        <v>473390</v>
      </c>
      <c r="CT160" s="202">
        <v>545814</v>
      </c>
      <c r="CU160" s="202">
        <v>658400</v>
      </c>
      <c r="CV160" s="202">
        <v>842752</v>
      </c>
      <c r="CW160" s="202">
        <v>938878</v>
      </c>
      <c r="CX160" s="11"/>
      <c r="CY160" s="111" t="s">
        <v>819</v>
      </c>
      <c r="CZ160" s="202">
        <v>473390</v>
      </c>
      <c r="DA160" s="202">
        <v>545814</v>
      </c>
      <c r="DB160" s="202">
        <v>658400</v>
      </c>
      <c r="DC160" s="202">
        <v>842752</v>
      </c>
      <c r="DD160" s="202">
        <v>938878</v>
      </c>
    </row>
    <row r="161" spans="1:108" ht="13" customHeight="1">
      <c r="D161" t="s">
        <v>843</v>
      </c>
      <c r="O161" s="1490" t="s">
        <v>844</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695</v>
      </c>
      <c r="BN161" s="111" t="s">
        <v>845</v>
      </c>
      <c r="BS161">
        <v>7</v>
      </c>
      <c r="BT161" t="s">
        <v>846</v>
      </c>
      <c r="CB161" s="224" t="s">
        <v>825</v>
      </c>
      <c r="CC161" s="317">
        <v>1850</v>
      </c>
      <c r="CD161" s="318">
        <v>1980</v>
      </c>
      <c r="CE161" s="317">
        <v>2376</v>
      </c>
      <c r="CF161" s="318">
        <v>2746</v>
      </c>
      <c r="CG161" s="318">
        <v>3064</v>
      </c>
      <c r="CH161" s="319">
        <v>3382</v>
      </c>
      <c r="CI161" s="2"/>
      <c r="CJ161" s="683">
        <v>911</v>
      </c>
      <c r="CK161" s="683">
        <v>1005</v>
      </c>
      <c r="CL161" s="683">
        <v>1321</v>
      </c>
      <c r="CM161" s="683">
        <v>1862</v>
      </c>
      <c r="CN161" s="683">
        <v>2168</v>
      </c>
      <c r="CR161" s="111" t="s">
        <v>824</v>
      </c>
      <c r="CS161" s="200">
        <v>352022</v>
      </c>
      <c r="CT161" s="200">
        <v>405878</v>
      </c>
      <c r="CU161" s="200">
        <v>489600</v>
      </c>
      <c r="CV161" s="200">
        <v>626688</v>
      </c>
      <c r="CW161" s="200">
        <v>698170</v>
      </c>
      <c r="CX161" s="11"/>
      <c r="CY161" s="111" t="s">
        <v>824</v>
      </c>
      <c r="CZ161" s="200">
        <v>352022</v>
      </c>
      <c r="DA161" s="200">
        <v>405878</v>
      </c>
      <c r="DB161" s="200">
        <v>489600</v>
      </c>
      <c r="DC161" s="200">
        <v>626688</v>
      </c>
      <c r="DD161" s="200">
        <v>698170</v>
      </c>
    </row>
    <row r="162" spans="1:108" ht="13"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4" t="s">
        <v>830</v>
      </c>
      <c r="CC162" s="320">
        <v>1764</v>
      </c>
      <c r="CD162" s="321">
        <v>1890</v>
      </c>
      <c r="CE162" s="320">
        <v>2270</v>
      </c>
      <c r="CF162" s="321">
        <v>2620</v>
      </c>
      <c r="CG162" s="321">
        <v>2924</v>
      </c>
      <c r="CH162" s="322">
        <v>3226</v>
      </c>
      <c r="CI162" s="2"/>
      <c r="CJ162" s="683">
        <v>1128</v>
      </c>
      <c r="CK162" s="683">
        <v>1135</v>
      </c>
      <c r="CL162" s="683">
        <v>1347</v>
      </c>
      <c r="CM162" s="683">
        <v>1898</v>
      </c>
      <c r="CN162" s="683">
        <v>2286</v>
      </c>
      <c r="CR162" s="111" t="s">
        <v>829</v>
      </c>
      <c r="CS162" s="202">
        <v>352022</v>
      </c>
      <c r="CT162" s="202">
        <v>405878</v>
      </c>
      <c r="CU162" s="202">
        <v>489600</v>
      </c>
      <c r="CV162" s="202">
        <v>626688</v>
      </c>
      <c r="CW162" s="202">
        <v>698170</v>
      </c>
      <c r="CX162" s="11"/>
      <c r="CY162" s="111" t="s">
        <v>829</v>
      </c>
      <c r="CZ162" s="202">
        <v>352022</v>
      </c>
      <c r="DA162" s="202">
        <v>405878</v>
      </c>
      <c r="DB162" s="202">
        <v>489600</v>
      </c>
      <c r="DC162" s="202">
        <v>626688</v>
      </c>
      <c r="DD162" s="202">
        <v>698170</v>
      </c>
    </row>
    <row r="163" spans="1:108" ht="13"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4" t="s">
        <v>842</v>
      </c>
      <c r="CC163" s="320">
        <v>1586</v>
      </c>
      <c r="CD163" s="321">
        <v>1700</v>
      </c>
      <c r="CE163" s="320">
        <v>2042</v>
      </c>
      <c r="CF163" s="321">
        <v>2358</v>
      </c>
      <c r="CG163" s="321">
        <v>2630</v>
      </c>
      <c r="CH163" s="322">
        <v>2902</v>
      </c>
      <c r="CI163" s="2"/>
      <c r="CJ163" s="683">
        <v>1049</v>
      </c>
      <c r="CK163" s="683">
        <v>1091</v>
      </c>
      <c r="CL163" s="683">
        <v>1428</v>
      </c>
      <c r="CM163" s="683">
        <v>2012</v>
      </c>
      <c r="CN163" s="683">
        <v>2423</v>
      </c>
      <c r="CR163" s="111" t="s">
        <v>841</v>
      </c>
      <c r="CS163" s="200">
        <v>319236</v>
      </c>
      <c r="CT163" s="200">
        <v>368076</v>
      </c>
      <c r="CU163" s="200">
        <v>444000</v>
      </c>
      <c r="CV163" s="200">
        <v>568320</v>
      </c>
      <c r="CW163" s="200">
        <v>633144</v>
      </c>
      <c r="CX163" s="11"/>
      <c r="CY163" s="111" t="s">
        <v>841</v>
      </c>
      <c r="CZ163" s="200">
        <v>319236</v>
      </c>
      <c r="DA163" s="200">
        <v>368076</v>
      </c>
      <c r="DB163" s="200">
        <v>444000</v>
      </c>
      <c r="DC163" s="200">
        <v>568320</v>
      </c>
      <c r="DD163" s="200">
        <v>633144</v>
      </c>
    </row>
    <row r="164" spans="1:108" ht="13" customHeight="1">
      <c r="C164" s="21"/>
      <c r="D164" s="1498" t="s">
        <v>854</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11" t="s">
        <v>855</v>
      </c>
      <c r="BS164">
        <v>7</v>
      </c>
      <c r="BT164" t="s">
        <v>856</v>
      </c>
      <c r="CB164" s="224" t="s">
        <v>846</v>
      </c>
      <c r="CC164" s="320">
        <v>1656</v>
      </c>
      <c r="CD164" s="321">
        <v>1774</v>
      </c>
      <c r="CE164" s="320">
        <v>2130</v>
      </c>
      <c r="CF164" s="321">
        <v>2460</v>
      </c>
      <c r="CG164" s="321">
        <v>2744</v>
      </c>
      <c r="CH164" s="322">
        <v>3028</v>
      </c>
      <c r="CI164" s="2"/>
      <c r="CJ164" s="683">
        <v>1049</v>
      </c>
      <c r="CK164" s="683">
        <v>1055</v>
      </c>
      <c r="CL164" s="683">
        <v>1309</v>
      </c>
      <c r="CM164" s="683">
        <v>1845</v>
      </c>
      <c r="CN164" s="683">
        <v>2135</v>
      </c>
      <c r="CR164" s="111" t="s">
        <v>845</v>
      </c>
      <c r="CS164" s="202">
        <v>352022</v>
      </c>
      <c r="CT164" s="202">
        <v>405878</v>
      </c>
      <c r="CU164" s="202">
        <v>489600</v>
      </c>
      <c r="CV164" s="202">
        <v>626688</v>
      </c>
      <c r="CW164" s="202">
        <v>698170</v>
      </c>
      <c r="CX164" s="11"/>
      <c r="CY164" s="111" t="s">
        <v>845</v>
      </c>
      <c r="CZ164" s="202">
        <v>352022</v>
      </c>
      <c r="DA164" s="202">
        <v>405878</v>
      </c>
      <c r="DB164" s="202">
        <v>489600</v>
      </c>
      <c r="DC164" s="202">
        <v>626688</v>
      </c>
      <c r="DD164" s="202">
        <v>698170</v>
      </c>
    </row>
    <row r="165" spans="1:108" ht="13" customHeight="1">
      <c r="C165" s="21"/>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1" t="s">
        <v>857</v>
      </c>
      <c r="BS165">
        <v>6</v>
      </c>
      <c r="BT165" t="s">
        <v>858</v>
      </c>
      <c r="CB165" s="224" t="s">
        <v>849</v>
      </c>
      <c r="CC165" s="320">
        <v>1540</v>
      </c>
      <c r="CD165" s="321">
        <v>1650</v>
      </c>
      <c r="CE165" s="320">
        <v>1980</v>
      </c>
      <c r="CF165" s="321">
        <v>2286</v>
      </c>
      <c r="CG165" s="321">
        <v>2550</v>
      </c>
      <c r="CH165" s="322">
        <v>2812</v>
      </c>
      <c r="CI165" s="2"/>
      <c r="CJ165" s="683">
        <v>823</v>
      </c>
      <c r="CK165" s="683">
        <v>829</v>
      </c>
      <c r="CL165" s="683">
        <v>1089</v>
      </c>
      <c r="CM165" s="683">
        <v>1519</v>
      </c>
      <c r="CN165" s="683">
        <v>1525</v>
      </c>
      <c r="CR165" s="111" t="s">
        <v>848</v>
      </c>
      <c r="CS165" s="200">
        <v>352022</v>
      </c>
      <c r="CT165" s="200">
        <v>405878</v>
      </c>
      <c r="CU165" s="200">
        <v>489600</v>
      </c>
      <c r="CV165" s="200">
        <v>626688</v>
      </c>
      <c r="CW165" s="200">
        <v>698170</v>
      </c>
      <c r="CX165" s="11"/>
      <c r="CY165" s="111" t="s">
        <v>848</v>
      </c>
      <c r="CZ165" s="200">
        <v>352022</v>
      </c>
      <c r="DA165" s="200">
        <v>405878</v>
      </c>
      <c r="DB165" s="200">
        <v>489600</v>
      </c>
      <c r="DC165" s="200">
        <v>626688</v>
      </c>
      <c r="DD165" s="200">
        <v>698170</v>
      </c>
    </row>
    <row r="166" spans="1:108" ht="13" customHeight="1">
      <c r="B166" s="1"/>
      <c r="C166" s="21"/>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1" t="s">
        <v>859</v>
      </c>
      <c r="BS166">
        <v>5</v>
      </c>
      <c r="BT166" t="s">
        <v>860</v>
      </c>
      <c r="CB166" s="224" t="s">
        <v>853</v>
      </c>
      <c r="CC166" s="320">
        <v>2724</v>
      </c>
      <c r="CD166" s="321">
        <v>2920</v>
      </c>
      <c r="CE166" s="320">
        <v>3504</v>
      </c>
      <c r="CF166" s="321">
        <v>4048</v>
      </c>
      <c r="CG166" s="321">
        <v>4516</v>
      </c>
      <c r="CH166" s="322">
        <v>4982</v>
      </c>
      <c r="CI166" s="2"/>
      <c r="CJ166" s="683">
        <v>1825</v>
      </c>
      <c r="CK166" s="683">
        <v>2131</v>
      </c>
      <c r="CL166" s="683">
        <v>2590</v>
      </c>
      <c r="CM166" s="683">
        <v>3342</v>
      </c>
      <c r="CN166" s="683">
        <v>3954</v>
      </c>
      <c r="CR166" s="111" t="s">
        <v>852</v>
      </c>
      <c r="CS166" s="202">
        <v>473390</v>
      </c>
      <c r="CT166" s="202">
        <v>545814</v>
      </c>
      <c r="CU166" s="202">
        <v>658400</v>
      </c>
      <c r="CV166" s="202">
        <v>842752</v>
      </c>
      <c r="CW166" s="202">
        <v>938878</v>
      </c>
      <c r="CX166" s="11"/>
      <c r="CY166" s="111" t="s">
        <v>852</v>
      </c>
      <c r="CZ166" s="202">
        <v>473390</v>
      </c>
      <c r="DA166" s="202">
        <v>545814</v>
      </c>
      <c r="DB166" s="202">
        <v>658400</v>
      </c>
      <c r="DC166" s="202">
        <v>842752</v>
      </c>
      <c r="DD166" s="202">
        <v>938878</v>
      </c>
    </row>
    <row r="167" spans="1:108" ht="13" customHeight="1">
      <c r="B167" s="1"/>
      <c r="C167" s="21"/>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1" t="s">
        <v>861</v>
      </c>
      <c r="BS167">
        <v>7</v>
      </c>
      <c r="BT167" t="s">
        <v>862</v>
      </c>
      <c r="CB167" s="224" t="s">
        <v>856</v>
      </c>
      <c r="CC167" s="320">
        <v>1540</v>
      </c>
      <c r="CD167" s="321">
        <v>1650</v>
      </c>
      <c r="CE167" s="320">
        <v>1980</v>
      </c>
      <c r="CF167" s="321">
        <v>2286</v>
      </c>
      <c r="CG167" s="321">
        <v>2550</v>
      </c>
      <c r="CH167" s="322">
        <v>2812</v>
      </c>
      <c r="CI167" s="2"/>
      <c r="CJ167" s="683">
        <v>791</v>
      </c>
      <c r="CK167" s="683">
        <v>970</v>
      </c>
      <c r="CL167" s="683">
        <v>1147</v>
      </c>
      <c r="CM167" s="683">
        <v>1616</v>
      </c>
      <c r="CN167" s="683">
        <v>1946</v>
      </c>
      <c r="CR167" s="111" t="s">
        <v>855</v>
      </c>
      <c r="CS167" s="200">
        <v>352022</v>
      </c>
      <c r="CT167" s="200">
        <v>405878</v>
      </c>
      <c r="CU167" s="200">
        <v>489600</v>
      </c>
      <c r="CV167" s="200">
        <v>626688</v>
      </c>
      <c r="CW167" s="200">
        <v>698170</v>
      </c>
      <c r="CX167" s="11"/>
      <c r="CY167" s="111" t="s">
        <v>855</v>
      </c>
      <c r="CZ167" s="200">
        <v>352022</v>
      </c>
      <c r="DA167" s="200">
        <v>405878</v>
      </c>
      <c r="DB167" s="200">
        <v>489600</v>
      </c>
      <c r="DC167" s="200">
        <v>626688</v>
      </c>
      <c r="DD167" s="200">
        <v>698170</v>
      </c>
    </row>
    <row r="168" spans="1:108" ht="13"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4" t="s">
        <v>858</v>
      </c>
      <c r="CC168" s="320">
        <v>2064</v>
      </c>
      <c r="CD168" s="321">
        <v>2210</v>
      </c>
      <c r="CE168" s="320">
        <v>2652</v>
      </c>
      <c r="CF168" s="321">
        <v>3064</v>
      </c>
      <c r="CG168" s="321">
        <v>3420</v>
      </c>
      <c r="CH168" s="322">
        <v>3772</v>
      </c>
      <c r="CI168" s="2"/>
      <c r="CJ168" s="683">
        <v>1543</v>
      </c>
      <c r="CK168" s="683">
        <v>1666</v>
      </c>
      <c r="CL168" s="683">
        <v>2072</v>
      </c>
      <c r="CM168" s="683">
        <v>2884</v>
      </c>
      <c r="CN168" s="683">
        <v>3321</v>
      </c>
      <c r="CR168" s="111" t="s">
        <v>857</v>
      </c>
      <c r="CS168" s="202">
        <v>331890</v>
      </c>
      <c r="CT168" s="202">
        <v>382666</v>
      </c>
      <c r="CU168" s="202">
        <v>461600</v>
      </c>
      <c r="CV168" s="202">
        <v>590848</v>
      </c>
      <c r="CW168" s="202">
        <v>658242</v>
      </c>
      <c r="CX168" s="11"/>
      <c r="CY168" s="111" t="s">
        <v>857</v>
      </c>
      <c r="CZ168" s="202">
        <v>331890</v>
      </c>
      <c r="DA168" s="202">
        <v>382666</v>
      </c>
      <c r="DB168" s="202">
        <v>461600</v>
      </c>
      <c r="DC168" s="202">
        <v>590848</v>
      </c>
      <c r="DD168" s="202">
        <v>658242</v>
      </c>
    </row>
    <row r="169" spans="1:108" ht="13" customHeight="1">
      <c r="A169" s="1486" t="s">
        <v>865</v>
      </c>
      <c r="B169" s="1486"/>
      <c r="C169" s="1486"/>
      <c r="D169" s="1486"/>
      <c r="E169" s="1486"/>
      <c r="F169" s="1486"/>
      <c r="G169" s="1486"/>
      <c r="H169" s="1486"/>
      <c r="I169" s="1486"/>
      <c r="J169" s="1486"/>
      <c r="K169" s="1486"/>
      <c r="L169" s="1486"/>
      <c r="M169" s="1486"/>
      <c r="N169" s="1486"/>
      <c r="O169" s="1486"/>
      <c r="P169" s="1486"/>
      <c r="Q169" s="1486"/>
      <c r="R169" s="1486"/>
      <c r="S169" s="1486"/>
      <c r="T169" s="1486"/>
      <c r="U169" s="1486"/>
      <c r="V169" s="1486"/>
      <c r="W169" s="1486"/>
      <c r="X169" s="1486"/>
      <c r="Y169" s="1486"/>
      <c r="Z169" s="1486"/>
      <c r="AA169" s="1486"/>
      <c r="AB169" s="1486"/>
      <c r="AC169" s="1486"/>
      <c r="AD169" s="1486"/>
      <c r="AE169" s="1486"/>
      <c r="AF169" s="1486"/>
      <c r="AG169" s="1486"/>
      <c r="AH169" s="1486"/>
      <c r="AI169" s="1486"/>
      <c r="AJ169" s="1486"/>
      <c r="AK169" s="1486"/>
      <c r="AL169" s="1486"/>
      <c r="AM169" s="1486"/>
      <c r="AN169" s="1486"/>
      <c r="AO169" s="1486"/>
      <c r="AP169" s="1486"/>
      <c r="AQ169" s="1486"/>
      <c r="AR169" s="1486"/>
      <c r="AS169" s="1486"/>
      <c r="AT169" s="1486"/>
      <c r="AU169" s="54"/>
      <c r="AV169" s="54"/>
      <c r="AW169" s="54"/>
      <c r="AX169" s="54"/>
      <c r="AY169" s="54"/>
      <c r="BN169" s="111" t="s">
        <v>866</v>
      </c>
      <c r="BS169">
        <v>5</v>
      </c>
      <c r="BT169" t="s">
        <v>867</v>
      </c>
      <c r="CB169" s="224" t="s">
        <v>860</v>
      </c>
      <c r="CC169" s="320">
        <v>1540</v>
      </c>
      <c r="CD169" s="321">
        <v>1650</v>
      </c>
      <c r="CE169" s="320">
        <v>1980</v>
      </c>
      <c r="CF169" s="321">
        <v>2286</v>
      </c>
      <c r="CG169" s="321">
        <v>2550</v>
      </c>
      <c r="CH169" s="322">
        <v>2812</v>
      </c>
      <c r="CI169" s="2"/>
      <c r="CJ169" s="683">
        <v>1149</v>
      </c>
      <c r="CK169" s="683">
        <v>1157</v>
      </c>
      <c r="CL169" s="683">
        <v>1443</v>
      </c>
      <c r="CM169" s="683">
        <v>2033</v>
      </c>
      <c r="CN169" s="683">
        <v>2330</v>
      </c>
      <c r="CR169" s="111" t="s">
        <v>859</v>
      </c>
      <c r="CS169" s="200">
        <v>307732</v>
      </c>
      <c r="CT169" s="200">
        <v>354812</v>
      </c>
      <c r="CU169" s="200">
        <v>428000</v>
      </c>
      <c r="CV169" s="200">
        <v>547840</v>
      </c>
      <c r="CW169" s="200">
        <v>610328</v>
      </c>
      <c r="CX169" s="11"/>
      <c r="CY169" s="111" t="s">
        <v>859</v>
      </c>
      <c r="CZ169" s="200">
        <v>307732</v>
      </c>
      <c r="DA169" s="200">
        <v>354812</v>
      </c>
      <c r="DB169" s="200">
        <v>428000</v>
      </c>
      <c r="DC169" s="200">
        <v>547840</v>
      </c>
      <c r="DD169" s="200">
        <v>610328</v>
      </c>
    </row>
    <row r="170" spans="1:108" ht="13" customHeight="1">
      <c r="A170" s="1486"/>
      <c r="B170" s="1486"/>
      <c r="C170" s="1486"/>
      <c r="D170" s="1486"/>
      <c r="E170" s="1486"/>
      <c r="F170" s="1486"/>
      <c r="G170" s="1486"/>
      <c r="H170" s="1486"/>
      <c r="I170" s="1486"/>
      <c r="J170" s="1486"/>
      <c r="K170" s="1486"/>
      <c r="L170" s="1486"/>
      <c r="M170" s="1486"/>
      <c r="N170" s="1486"/>
      <c r="O170" s="1486"/>
      <c r="P170" s="1486"/>
      <c r="Q170" s="1486"/>
      <c r="R170" s="1486"/>
      <c r="S170" s="1486"/>
      <c r="T170" s="1486"/>
      <c r="U170" s="1486"/>
      <c r="V170" s="1486"/>
      <c r="W170" s="1486"/>
      <c r="X170" s="1486"/>
      <c r="Y170" s="1486"/>
      <c r="Z170" s="1486"/>
      <c r="AA170" s="1486"/>
      <c r="AB170" s="1486"/>
      <c r="AC170" s="1486"/>
      <c r="AD170" s="1486"/>
      <c r="AE170" s="1486"/>
      <c r="AF170" s="1486"/>
      <c r="AG170" s="1486"/>
      <c r="AH170" s="1486"/>
      <c r="AI170" s="1486"/>
      <c r="AJ170" s="1486"/>
      <c r="AK170" s="1486"/>
      <c r="AL170" s="1486"/>
      <c r="AM170" s="1486"/>
      <c r="AN170" s="1486"/>
      <c r="AO170" s="1486"/>
      <c r="AP170" s="1486"/>
      <c r="AQ170" s="1486"/>
      <c r="AR170" s="1486"/>
      <c r="AS170" s="1486"/>
      <c r="AT170" s="1486"/>
      <c r="AU170" s="54"/>
      <c r="AV170" s="54"/>
      <c r="AW170" s="54"/>
      <c r="AX170" s="54"/>
      <c r="AY170" s="54"/>
      <c r="BN170" s="111" t="s">
        <v>868</v>
      </c>
      <c r="BS170">
        <v>7</v>
      </c>
      <c r="BT170" t="s">
        <v>869</v>
      </c>
      <c r="CB170" s="224" t="s">
        <v>862</v>
      </c>
      <c r="CC170" s="320">
        <v>1540</v>
      </c>
      <c r="CD170" s="321">
        <v>1650</v>
      </c>
      <c r="CE170" s="320">
        <v>1980</v>
      </c>
      <c r="CF170" s="321">
        <v>2286</v>
      </c>
      <c r="CG170" s="321">
        <v>2550</v>
      </c>
      <c r="CH170" s="322">
        <v>2812</v>
      </c>
      <c r="CI170" s="2"/>
      <c r="CJ170" s="683">
        <v>771</v>
      </c>
      <c r="CK170" s="683">
        <v>866</v>
      </c>
      <c r="CL170" s="683">
        <v>1138</v>
      </c>
      <c r="CM170" s="683">
        <v>1484</v>
      </c>
      <c r="CN170" s="683">
        <v>1846</v>
      </c>
      <c r="CR170" s="111" t="s">
        <v>861</v>
      </c>
      <c r="CS170" s="202">
        <v>352022</v>
      </c>
      <c r="CT170" s="202">
        <v>405878</v>
      </c>
      <c r="CU170" s="202">
        <v>489600</v>
      </c>
      <c r="CV170" s="202">
        <v>626688</v>
      </c>
      <c r="CW170" s="202">
        <v>698170</v>
      </c>
      <c r="CX170" s="11"/>
      <c r="CY170" s="111" t="s">
        <v>861</v>
      </c>
      <c r="CZ170" s="202">
        <v>352022</v>
      </c>
      <c r="DA170" s="202">
        <v>405878</v>
      </c>
      <c r="DB170" s="202">
        <v>489600</v>
      </c>
      <c r="DC170" s="202">
        <v>626688</v>
      </c>
      <c r="DD170" s="202">
        <v>698170</v>
      </c>
    </row>
    <row r="171" spans="1:108" ht="13" customHeight="1">
      <c r="BN171" s="111" t="s">
        <v>870</v>
      </c>
      <c r="BS171">
        <v>5</v>
      </c>
      <c r="BT171" t="s">
        <v>871</v>
      </c>
      <c r="CB171" s="224" t="s">
        <v>864</v>
      </c>
      <c r="CC171" s="320">
        <v>1546</v>
      </c>
      <c r="CD171" s="321">
        <v>1656</v>
      </c>
      <c r="CE171" s="320">
        <v>1986</v>
      </c>
      <c r="CF171" s="321">
        <v>2296</v>
      </c>
      <c r="CG171" s="321">
        <v>2562</v>
      </c>
      <c r="CH171" s="322">
        <v>2826</v>
      </c>
      <c r="CI171" s="2"/>
      <c r="CJ171" s="683">
        <v>950</v>
      </c>
      <c r="CK171" s="683">
        <v>1032</v>
      </c>
      <c r="CL171" s="683">
        <v>1352</v>
      </c>
      <c r="CM171" s="683">
        <v>1905</v>
      </c>
      <c r="CN171" s="683">
        <v>2294</v>
      </c>
      <c r="CR171" s="111" t="s">
        <v>863</v>
      </c>
      <c r="CS171" s="200">
        <v>352022</v>
      </c>
      <c r="CT171" s="200">
        <v>405878</v>
      </c>
      <c r="CU171" s="200">
        <v>489600</v>
      </c>
      <c r="CV171" s="200">
        <v>626688</v>
      </c>
      <c r="CW171" s="200">
        <v>698170</v>
      </c>
      <c r="CX171" s="11"/>
      <c r="CY171" s="111" t="s">
        <v>863</v>
      </c>
      <c r="CZ171" s="200">
        <v>352022</v>
      </c>
      <c r="DA171" s="200">
        <v>405878</v>
      </c>
      <c r="DB171" s="200">
        <v>489600</v>
      </c>
      <c r="DC171" s="200">
        <v>626688</v>
      </c>
      <c r="DD171" s="200">
        <v>698170</v>
      </c>
    </row>
    <row r="172" spans="1:108" ht="13" customHeight="1">
      <c r="A172" s="1" t="s">
        <v>872</v>
      </c>
      <c r="C172" s="1" t="s">
        <v>91</v>
      </c>
      <c r="BN172" s="111" t="s">
        <v>873</v>
      </c>
      <c r="BS172">
        <v>5</v>
      </c>
      <c r="BT172" t="s">
        <v>874</v>
      </c>
      <c r="CB172" s="224" t="s">
        <v>867</v>
      </c>
      <c r="CC172" s="320">
        <v>1540</v>
      </c>
      <c r="CD172" s="321">
        <v>1650</v>
      </c>
      <c r="CE172" s="320">
        <v>1980</v>
      </c>
      <c r="CF172" s="321">
        <v>2286</v>
      </c>
      <c r="CG172" s="321">
        <v>2550</v>
      </c>
      <c r="CH172" s="322">
        <v>2812</v>
      </c>
      <c r="CI172" s="2"/>
      <c r="CJ172" s="683">
        <v>872</v>
      </c>
      <c r="CK172" s="683">
        <v>1001</v>
      </c>
      <c r="CL172" s="683">
        <v>1286</v>
      </c>
      <c r="CM172" s="683">
        <v>1771</v>
      </c>
      <c r="CN172" s="683">
        <v>2138</v>
      </c>
      <c r="CR172" s="111" t="s">
        <v>866</v>
      </c>
      <c r="CS172" s="202">
        <v>324988</v>
      </c>
      <c r="CT172" s="202">
        <v>374708</v>
      </c>
      <c r="CU172" s="202">
        <v>452000</v>
      </c>
      <c r="CV172" s="202">
        <v>578560</v>
      </c>
      <c r="CW172" s="202">
        <v>644552</v>
      </c>
      <c r="CX172" s="11"/>
      <c r="CY172" s="111" t="s">
        <v>866</v>
      </c>
      <c r="CZ172" s="202">
        <v>324988</v>
      </c>
      <c r="DA172" s="202">
        <v>374708</v>
      </c>
      <c r="DB172" s="202">
        <v>452000</v>
      </c>
      <c r="DC172" s="202">
        <v>578560</v>
      </c>
      <c r="DD172" s="202">
        <v>644552</v>
      </c>
    </row>
    <row r="173" spans="1:108" ht="13" customHeight="1">
      <c r="C173" s="18"/>
      <c r="D173" t="s">
        <v>875</v>
      </c>
      <c r="J173" s="1502" t="s">
        <v>876</v>
      </c>
      <c r="K173" s="1502"/>
      <c r="L173" s="1502"/>
      <c r="M173" s="1502"/>
      <c r="N173" s="1502"/>
      <c r="O173" s="1502"/>
      <c r="P173" s="1502"/>
      <c r="Q173" s="1502"/>
      <c r="R173" s="1502"/>
      <c r="S173" s="1502"/>
      <c r="U173" s="19"/>
      <c r="X173" s="19"/>
      <c r="BB173" s="2" t="s">
        <v>478</v>
      </c>
      <c r="BN173" s="111" t="s">
        <v>877</v>
      </c>
      <c r="BS173">
        <v>7</v>
      </c>
      <c r="BT173" t="s">
        <v>878</v>
      </c>
      <c r="CB173" s="224" t="s">
        <v>869</v>
      </c>
      <c r="CC173" s="320">
        <v>1540</v>
      </c>
      <c r="CD173" s="321">
        <v>1650</v>
      </c>
      <c r="CE173" s="320">
        <v>1980</v>
      </c>
      <c r="CF173" s="321">
        <v>2286</v>
      </c>
      <c r="CG173" s="321">
        <v>2550</v>
      </c>
      <c r="CH173" s="322">
        <v>2812</v>
      </c>
      <c r="CI173" s="2"/>
      <c r="CJ173" s="683">
        <v>924</v>
      </c>
      <c r="CK173" s="683">
        <v>1079</v>
      </c>
      <c r="CL173" s="683">
        <v>1363</v>
      </c>
      <c r="CM173" s="683">
        <v>1648</v>
      </c>
      <c r="CN173" s="683">
        <v>2237</v>
      </c>
      <c r="CR173" s="111" t="s">
        <v>868</v>
      </c>
      <c r="CS173" s="200">
        <v>352022</v>
      </c>
      <c r="CT173" s="200">
        <v>405878</v>
      </c>
      <c r="CU173" s="200">
        <v>489600</v>
      </c>
      <c r="CV173" s="200">
        <v>626688</v>
      </c>
      <c r="CW173" s="200">
        <v>698170</v>
      </c>
      <c r="CX173" s="11"/>
      <c r="CY173" s="111" t="s">
        <v>868</v>
      </c>
      <c r="CZ173" s="200">
        <v>352022</v>
      </c>
      <c r="DA173" s="200">
        <v>405878</v>
      </c>
      <c r="DB173" s="200">
        <v>489600</v>
      </c>
      <c r="DC173" s="200">
        <v>626688</v>
      </c>
      <c r="DD173" s="200">
        <v>698170</v>
      </c>
    </row>
    <row r="174" spans="1:108" ht="13" customHeight="1">
      <c r="C174" s="18"/>
      <c r="D174" s="2" t="s">
        <v>879</v>
      </c>
      <c r="J174" s="1369" t="s">
        <v>880</v>
      </c>
      <c r="K174" s="1369"/>
      <c r="L174" s="1369"/>
      <c r="M174" s="1369"/>
      <c r="N174" s="1369"/>
      <c r="O174" s="1369"/>
      <c r="P174" s="1369"/>
      <c r="Q174" s="1369"/>
      <c r="R174" s="1369"/>
      <c r="S174" s="1369"/>
      <c r="T174" s="1369"/>
      <c r="U174" s="1369"/>
      <c r="V174" s="1369"/>
      <c r="W174" s="1369"/>
      <c r="X174" s="1369"/>
      <c r="Y174" s="1369"/>
      <c r="Z174" s="1369"/>
      <c r="AA174" s="1369"/>
      <c r="AB174" s="1369"/>
      <c r="BB174" t="s">
        <v>881</v>
      </c>
      <c r="BN174" s="111" t="s">
        <v>882</v>
      </c>
      <c r="BS174">
        <v>7</v>
      </c>
      <c r="BT174" t="s">
        <v>883</v>
      </c>
      <c r="CB174" s="224" t="s">
        <v>871</v>
      </c>
      <c r="CC174" s="320">
        <v>1540</v>
      </c>
      <c r="CD174" s="321">
        <v>1650</v>
      </c>
      <c r="CE174" s="320">
        <v>1980</v>
      </c>
      <c r="CF174" s="321">
        <v>2286</v>
      </c>
      <c r="CG174" s="321">
        <v>2550</v>
      </c>
      <c r="CH174" s="322">
        <v>2812</v>
      </c>
      <c r="CI174" s="2"/>
      <c r="CJ174" s="683">
        <v>960</v>
      </c>
      <c r="CK174" s="683">
        <v>967</v>
      </c>
      <c r="CL174" s="683">
        <v>1258</v>
      </c>
      <c r="CM174" s="683">
        <v>1773</v>
      </c>
      <c r="CN174" s="683">
        <v>2135</v>
      </c>
      <c r="CR174" s="111" t="s">
        <v>870</v>
      </c>
      <c r="CS174" s="202">
        <v>307732</v>
      </c>
      <c r="CT174" s="202">
        <v>354812</v>
      </c>
      <c r="CU174" s="202">
        <v>428000</v>
      </c>
      <c r="CV174" s="202">
        <v>547840</v>
      </c>
      <c r="CW174" s="202">
        <v>610328</v>
      </c>
      <c r="CX174" s="11"/>
      <c r="CY174" s="111" t="s">
        <v>870</v>
      </c>
      <c r="CZ174" s="202">
        <v>307732</v>
      </c>
      <c r="DA174" s="202">
        <v>354812</v>
      </c>
      <c r="DB174" s="202">
        <v>428000</v>
      </c>
      <c r="DC174" s="202">
        <v>547840</v>
      </c>
      <c r="DD174" s="202">
        <v>610328</v>
      </c>
    </row>
    <row r="175" spans="1:108" ht="13" customHeight="1">
      <c r="C175" s="6"/>
      <c r="D175" s="2" t="s">
        <v>884</v>
      </c>
      <c r="O175" s="21"/>
      <c r="U175" s="1353" t="s">
        <v>695</v>
      </c>
      <c r="V175" s="1353"/>
      <c r="BB175" t="s">
        <v>885</v>
      </c>
      <c r="BN175" s="111" t="s">
        <v>886</v>
      </c>
      <c r="BS175">
        <v>1</v>
      </c>
      <c r="BT175" t="s">
        <v>887</v>
      </c>
      <c r="CB175" s="224" t="s">
        <v>874</v>
      </c>
      <c r="CC175" s="320">
        <v>1540</v>
      </c>
      <c r="CD175" s="321">
        <v>1650</v>
      </c>
      <c r="CE175" s="320">
        <v>1980</v>
      </c>
      <c r="CF175" s="321">
        <v>2286</v>
      </c>
      <c r="CG175" s="321">
        <v>2550</v>
      </c>
      <c r="CH175" s="322">
        <v>2812</v>
      </c>
      <c r="CI175" s="2"/>
      <c r="CJ175" s="683">
        <v>1080</v>
      </c>
      <c r="CK175" s="683">
        <v>1087</v>
      </c>
      <c r="CL175" s="683">
        <v>1371</v>
      </c>
      <c r="CM175" s="683">
        <v>1932</v>
      </c>
      <c r="CN175" s="683">
        <v>2310</v>
      </c>
      <c r="CR175" s="111" t="s">
        <v>873</v>
      </c>
      <c r="CS175" s="200">
        <v>307732</v>
      </c>
      <c r="CT175" s="200">
        <v>354812</v>
      </c>
      <c r="CU175" s="200">
        <v>428000</v>
      </c>
      <c r="CV175" s="200">
        <v>547840</v>
      </c>
      <c r="CW175" s="200">
        <v>610328</v>
      </c>
      <c r="CX175" s="11"/>
      <c r="CY175" s="111" t="s">
        <v>873</v>
      </c>
      <c r="CZ175" s="200">
        <v>307732</v>
      </c>
      <c r="DA175" s="200">
        <v>354812</v>
      </c>
      <c r="DB175" s="200">
        <v>428000</v>
      </c>
      <c r="DC175" s="200">
        <v>547840</v>
      </c>
      <c r="DD175" s="200">
        <v>610328</v>
      </c>
    </row>
    <row r="176" spans="1:108" ht="13" customHeight="1">
      <c r="C176" s="6"/>
      <c r="D176" s="20"/>
      <c r="E176" t="s">
        <v>888</v>
      </c>
      <c r="O176" s="21"/>
      <c r="P176" t="s">
        <v>889</v>
      </c>
      <c r="T176" s="21" t="s">
        <v>890</v>
      </c>
      <c r="U176" s="1440"/>
      <c r="V176" s="1440"/>
      <c r="W176" s="1063" t="s">
        <v>891</v>
      </c>
      <c r="X176" s="1515"/>
      <c r="Y176" s="1515"/>
      <c r="BB176" t="s">
        <v>892</v>
      </c>
      <c r="BN176" s="111" t="s">
        <v>893</v>
      </c>
      <c r="BS176">
        <v>5</v>
      </c>
      <c r="BT176" t="s">
        <v>894</v>
      </c>
      <c r="CB176" s="224" t="s">
        <v>878</v>
      </c>
      <c r="CC176" s="320">
        <v>1540</v>
      </c>
      <c r="CD176" s="321">
        <v>1650</v>
      </c>
      <c r="CE176" s="320">
        <v>1980</v>
      </c>
      <c r="CF176" s="321">
        <v>2286</v>
      </c>
      <c r="CG176" s="321">
        <v>2550</v>
      </c>
      <c r="CH176" s="322">
        <v>2812</v>
      </c>
      <c r="CI176" s="2"/>
      <c r="CJ176" s="683">
        <v>928</v>
      </c>
      <c r="CK176" s="683">
        <v>964</v>
      </c>
      <c r="CL176" s="683">
        <v>1267</v>
      </c>
      <c r="CM176" s="683">
        <v>1785</v>
      </c>
      <c r="CN176" s="683">
        <v>2150</v>
      </c>
      <c r="CR176" s="111" t="s">
        <v>877</v>
      </c>
      <c r="CS176" s="202">
        <v>352022</v>
      </c>
      <c r="CT176" s="202">
        <v>405878</v>
      </c>
      <c r="CU176" s="202">
        <v>489600</v>
      </c>
      <c r="CV176" s="202">
        <v>626688</v>
      </c>
      <c r="CW176" s="202">
        <v>698170</v>
      </c>
      <c r="CX176" s="11"/>
      <c r="CY176" s="111" t="s">
        <v>877</v>
      </c>
      <c r="CZ176" s="202">
        <v>352022</v>
      </c>
      <c r="DA176" s="202">
        <v>405878</v>
      </c>
      <c r="DB176" s="202">
        <v>489600</v>
      </c>
      <c r="DC176" s="202">
        <v>626688</v>
      </c>
      <c r="DD176" s="202">
        <v>698170</v>
      </c>
    </row>
    <row r="177" spans="1:108" ht="13" customHeight="1">
      <c r="C177" s="18"/>
      <c r="D177" t="s">
        <v>895</v>
      </c>
      <c r="R177" s="1353" t="s">
        <v>695</v>
      </c>
      <c r="S177" s="1353"/>
      <c r="BB177" t="s">
        <v>896</v>
      </c>
      <c r="BN177" s="111" t="s">
        <v>897</v>
      </c>
      <c r="BS177">
        <v>2</v>
      </c>
      <c r="BT177" t="s">
        <v>898</v>
      </c>
      <c r="CB177" s="224" t="s">
        <v>883</v>
      </c>
      <c r="CC177" s="320">
        <v>1540</v>
      </c>
      <c r="CD177" s="321">
        <v>1650</v>
      </c>
      <c r="CE177" s="320">
        <v>1980</v>
      </c>
      <c r="CF177" s="321">
        <v>2286</v>
      </c>
      <c r="CG177" s="321">
        <v>2550</v>
      </c>
      <c r="CH177" s="322">
        <v>2812</v>
      </c>
      <c r="CI177" s="2"/>
      <c r="CJ177" s="683">
        <v>760</v>
      </c>
      <c r="CK177" s="683">
        <v>853</v>
      </c>
      <c r="CL177" s="683">
        <v>1121</v>
      </c>
      <c r="CM177" s="683">
        <v>1580</v>
      </c>
      <c r="CN177" s="683">
        <v>1789</v>
      </c>
      <c r="CR177" s="111" t="s">
        <v>882</v>
      </c>
      <c r="CS177" s="200">
        <v>352022</v>
      </c>
      <c r="CT177" s="200">
        <v>405878</v>
      </c>
      <c r="CU177" s="200">
        <v>489600</v>
      </c>
      <c r="CV177" s="200">
        <v>626688</v>
      </c>
      <c r="CW177" s="200">
        <v>698170</v>
      </c>
      <c r="CX177" s="11"/>
      <c r="CY177" s="111" t="s">
        <v>882</v>
      </c>
      <c r="CZ177" s="200">
        <v>352022</v>
      </c>
      <c r="DA177" s="200">
        <v>405878</v>
      </c>
      <c r="DB177" s="200">
        <v>489600</v>
      </c>
      <c r="DC177" s="200">
        <v>626688</v>
      </c>
      <c r="DD177" s="200">
        <v>698170</v>
      </c>
    </row>
    <row r="178" spans="1:108" ht="13" customHeight="1">
      <c r="C178" s="18"/>
      <c r="D178" s="2" t="s">
        <v>899</v>
      </c>
      <c r="AA178" t="s">
        <v>889</v>
      </c>
      <c r="AE178" s="21" t="s">
        <v>890</v>
      </c>
      <c r="AF178" s="1514"/>
      <c r="AG178" s="1514"/>
      <c r="AH178" s="1063" t="s">
        <v>891</v>
      </c>
      <c r="AI178" s="1376"/>
      <c r="AJ178" s="1376"/>
      <c r="AK178" s="1376"/>
      <c r="BB178" t="s">
        <v>900</v>
      </c>
      <c r="BN178" s="111" t="s">
        <v>901</v>
      </c>
      <c r="BS178">
        <v>7</v>
      </c>
      <c r="BT178" t="s">
        <v>902</v>
      </c>
      <c r="CB178" s="224" t="s">
        <v>887</v>
      </c>
      <c r="CC178" s="320">
        <v>2426</v>
      </c>
      <c r="CD178" s="321">
        <v>2600</v>
      </c>
      <c r="CE178" s="320">
        <v>3120</v>
      </c>
      <c r="CF178" s="321">
        <v>3606</v>
      </c>
      <c r="CG178" s="321">
        <v>4022</v>
      </c>
      <c r="CH178" s="322">
        <v>4438</v>
      </c>
      <c r="CI178" s="2"/>
      <c r="CJ178" s="683">
        <v>1777</v>
      </c>
      <c r="CK178" s="683">
        <v>2006</v>
      </c>
      <c r="CL178" s="683">
        <v>2544</v>
      </c>
      <c r="CM178" s="683">
        <v>3263</v>
      </c>
      <c r="CN178" s="683">
        <v>3600</v>
      </c>
      <c r="CR178" s="111" t="s">
        <v>886</v>
      </c>
      <c r="CS178" s="202">
        <v>437727</v>
      </c>
      <c r="CT178" s="202">
        <v>504695</v>
      </c>
      <c r="CU178" s="202">
        <v>608800</v>
      </c>
      <c r="CV178" s="202">
        <v>779264</v>
      </c>
      <c r="CW178" s="202">
        <v>868149</v>
      </c>
      <c r="CX178" s="11"/>
      <c r="CY178" s="111" t="s">
        <v>886</v>
      </c>
      <c r="CZ178" s="202">
        <v>437727</v>
      </c>
      <c r="DA178" s="202">
        <v>504695</v>
      </c>
      <c r="DB178" s="202">
        <v>608800</v>
      </c>
      <c r="DC178" s="202">
        <v>779264</v>
      </c>
      <c r="DD178" s="202">
        <v>868149</v>
      </c>
    </row>
    <row r="179" spans="1:108" ht="13" customHeight="1">
      <c r="C179" s="18"/>
      <c r="BN179" s="111" t="s">
        <v>903</v>
      </c>
      <c r="BS179">
        <v>7</v>
      </c>
      <c r="BT179" t="s">
        <v>904</v>
      </c>
      <c r="CB179" s="224" t="s">
        <v>894</v>
      </c>
      <c r="CC179" s="320">
        <v>1540</v>
      </c>
      <c r="CD179" s="321">
        <v>1650</v>
      </c>
      <c r="CE179" s="320">
        <v>1980</v>
      </c>
      <c r="CF179" s="321">
        <v>2286</v>
      </c>
      <c r="CG179" s="321">
        <v>2550</v>
      </c>
      <c r="CH179" s="322">
        <v>2812</v>
      </c>
      <c r="CI179" s="2"/>
      <c r="CJ179" s="683">
        <v>1083</v>
      </c>
      <c r="CK179" s="683">
        <v>1090</v>
      </c>
      <c r="CL179" s="683">
        <v>1432</v>
      </c>
      <c r="CM179" s="683">
        <v>1998</v>
      </c>
      <c r="CN179" s="683">
        <v>2208</v>
      </c>
      <c r="CR179" s="111" t="s">
        <v>893</v>
      </c>
      <c r="CS179" s="200">
        <v>307732</v>
      </c>
      <c r="CT179" s="200">
        <v>354812</v>
      </c>
      <c r="CU179" s="200">
        <v>428000</v>
      </c>
      <c r="CV179" s="200">
        <v>547840</v>
      </c>
      <c r="CW179" s="200">
        <v>610328</v>
      </c>
      <c r="CX179" s="11"/>
      <c r="CY179" s="111" t="s">
        <v>893</v>
      </c>
      <c r="CZ179" s="200">
        <v>307732</v>
      </c>
      <c r="DA179" s="200">
        <v>354812</v>
      </c>
      <c r="DB179" s="200">
        <v>428000</v>
      </c>
      <c r="DC179" s="200">
        <v>547840</v>
      </c>
      <c r="DD179" s="200">
        <v>610328</v>
      </c>
    </row>
    <row r="180" spans="1:108" ht="13" customHeight="1">
      <c r="C180" s="18"/>
      <c r="D180" t="s">
        <v>905</v>
      </c>
      <c r="X180" s="1353" t="s">
        <v>695</v>
      </c>
      <c r="Y180" s="1353"/>
      <c r="BN180" s="111" t="s">
        <v>906</v>
      </c>
      <c r="BS180">
        <v>5</v>
      </c>
      <c r="BT180" t="s">
        <v>907</v>
      </c>
      <c r="CB180" s="224" t="s">
        <v>898</v>
      </c>
      <c r="CC180" s="320">
        <v>3426</v>
      </c>
      <c r="CD180" s="321">
        <v>3672</v>
      </c>
      <c r="CE180" s="320">
        <v>4406</v>
      </c>
      <c r="CF180" s="321">
        <v>5090</v>
      </c>
      <c r="CG180" s="321">
        <v>5680</v>
      </c>
      <c r="CH180" s="322">
        <v>6266</v>
      </c>
      <c r="CI180" s="2"/>
      <c r="CJ180" s="683">
        <v>2292</v>
      </c>
      <c r="CK180" s="683">
        <v>2818</v>
      </c>
      <c r="CL180" s="683">
        <v>3359</v>
      </c>
      <c r="CM180" s="683">
        <v>4112</v>
      </c>
      <c r="CN180" s="683">
        <v>4473</v>
      </c>
      <c r="CR180" s="111" t="s">
        <v>897</v>
      </c>
      <c r="CS180" s="202">
        <v>384234</v>
      </c>
      <c r="CT180" s="202">
        <v>443018</v>
      </c>
      <c r="CU180" s="202">
        <v>534400</v>
      </c>
      <c r="CV180" s="202">
        <v>684032</v>
      </c>
      <c r="CW180" s="202">
        <v>762054</v>
      </c>
      <c r="CX180" s="11"/>
      <c r="CY180" s="111" t="s">
        <v>897</v>
      </c>
      <c r="CZ180" s="202">
        <v>384234</v>
      </c>
      <c r="DA180" s="202">
        <v>443018</v>
      </c>
      <c r="DB180" s="202">
        <v>534400</v>
      </c>
      <c r="DC180" s="202">
        <v>684032</v>
      </c>
      <c r="DD180" s="202">
        <v>762054</v>
      </c>
    </row>
    <row r="181" spans="1:108" ht="13" customHeight="1">
      <c r="C181" s="6"/>
      <c r="E181" s="2" t="s">
        <v>908</v>
      </c>
      <c r="BN181" s="111" t="s">
        <v>909</v>
      </c>
      <c r="BS181">
        <v>7</v>
      </c>
      <c r="BT181" t="s">
        <v>910</v>
      </c>
      <c r="CB181" s="224" t="s">
        <v>902</v>
      </c>
      <c r="CC181" s="320">
        <v>1540</v>
      </c>
      <c r="CD181" s="321">
        <v>1650</v>
      </c>
      <c r="CE181" s="320">
        <v>1980</v>
      </c>
      <c r="CF181" s="321">
        <v>2286</v>
      </c>
      <c r="CG181" s="321">
        <v>2550</v>
      </c>
      <c r="CH181" s="322">
        <v>2812</v>
      </c>
      <c r="CI181" s="2"/>
      <c r="CJ181" s="683">
        <v>891</v>
      </c>
      <c r="CK181" s="683">
        <v>1010</v>
      </c>
      <c r="CL181" s="683">
        <v>1218</v>
      </c>
      <c r="CM181" s="683">
        <v>1716</v>
      </c>
      <c r="CN181" s="683">
        <v>2067</v>
      </c>
      <c r="CR181" s="111" t="s">
        <v>901</v>
      </c>
      <c r="CS181" s="200">
        <v>352022</v>
      </c>
      <c r="CT181" s="200">
        <v>405878</v>
      </c>
      <c r="CU181" s="200">
        <v>489600</v>
      </c>
      <c r="CV181" s="200">
        <v>626688</v>
      </c>
      <c r="CW181" s="200">
        <v>698170</v>
      </c>
      <c r="CX181" s="11"/>
      <c r="CY181" s="111" t="s">
        <v>901</v>
      </c>
      <c r="CZ181" s="200">
        <v>352022</v>
      </c>
      <c r="DA181" s="200">
        <v>405878</v>
      </c>
      <c r="DB181" s="200">
        <v>489600</v>
      </c>
      <c r="DC181" s="200">
        <v>626688</v>
      </c>
      <c r="DD181" s="200">
        <v>698170</v>
      </c>
    </row>
    <row r="182" spans="1:108" ht="13" customHeight="1">
      <c r="C182" s="379"/>
      <c r="BN182" s="111" t="s">
        <v>911</v>
      </c>
      <c r="BS182">
        <v>7</v>
      </c>
      <c r="BT182" t="s">
        <v>912</v>
      </c>
      <c r="CB182" s="224" t="s">
        <v>904</v>
      </c>
      <c r="CC182" s="320">
        <v>1582</v>
      </c>
      <c r="CD182" s="321">
        <v>1696</v>
      </c>
      <c r="CE182" s="320">
        <v>2034</v>
      </c>
      <c r="CF182" s="321">
        <v>2350</v>
      </c>
      <c r="CG182" s="321">
        <v>2622</v>
      </c>
      <c r="CH182" s="322">
        <v>2892</v>
      </c>
      <c r="CI182" s="2"/>
      <c r="CJ182" s="683">
        <v>1119</v>
      </c>
      <c r="CK182" s="683">
        <v>1132</v>
      </c>
      <c r="CL182" s="683">
        <v>1488</v>
      </c>
      <c r="CM182" s="683">
        <v>2097</v>
      </c>
      <c r="CN182" s="683">
        <v>2525</v>
      </c>
      <c r="CR182" s="111" t="s">
        <v>903</v>
      </c>
      <c r="CS182" s="202">
        <v>352022</v>
      </c>
      <c r="CT182" s="202">
        <v>405878</v>
      </c>
      <c r="CU182" s="202">
        <v>489600</v>
      </c>
      <c r="CV182" s="202">
        <v>626688</v>
      </c>
      <c r="CW182" s="202">
        <v>698170</v>
      </c>
      <c r="CX182" s="11"/>
      <c r="CY182" s="111" t="s">
        <v>903</v>
      </c>
      <c r="CZ182" s="202">
        <v>352022</v>
      </c>
      <c r="DA182" s="202">
        <v>405878</v>
      </c>
      <c r="DB182" s="202">
        <v>489600</v>
      </c>
      <c r="DC182" s="202">
        <v>626688</v>
      </c>
      <c r="DD182" s="202">
        <v>698170</v>
      </c>
    </row>
    <row r="183" spans="1:108" ht="13" customHeight="1">
      <c r="A183" s="1" t="s">
        <v>913</v>
      </c>
      <c r="C183" s="1" t="s">
        <v>93</v>
      </c>
      <c r="BN183" s="111" t="s">
        <v>914</v>
      </c>
      <c r="BS183">
        <v>4</v>
      </c>
      <c r="BT183" t="s">
        <v>915</v>
      </c>
      <c r="CB183" s="224" t="s">
        <v>907</v>
      </c>
      <c r="CC183" s="320">
        <v>1540</v>
      </c>
      <c r="CD183" s="321">
        <v>1650</v>
      </c>
      <c r="CE183" s="320">
        <v>1980</v>
      </c>
      <c r="CF183" s="321">
        <v>2286</v>
      </c>
      <c r="CG183" s="321">
        <v>2550</v>
      </c>
      <c r="CH183" s="322">
        <v>2812</v>
      </c>
      <c r="CI183" s="2"/>
      <c r="CJ183" s="683">
        <v>994</v>
      </c>
      <c r="CK183" s="683">
        <v>1159</v>
      </c>
      <c r="CL183" s="683">
        <v>1420</v>
      </c>
      <c r="CM183" s="683">
        <v>1995</v>
      </c>
      <c r="CN183" s="683">
        <v>2410</v>
      </c>
      <c r="CR183" s="111" t="s">
        <v>906</v>
      </c>
      <c r="CS183" s="200">
        <v>307732</v>
      </c>
      <c r="CT183" s="200">
        <v>354812</v>
      </c>
      <c r="CU183" s="200">
        <v>428000</v>
      </c>
      <c r="CV183" s="200">
        <v>547840</v>
      </c>
      <c r="CW183" s="200">
        <v>610328</v>
      </c>
      <c r="CX183" s="11"/>
      <c r="CY183" s="111" t="s">
        <v>906</v>
      </c>
      <c r="CZ183" s="200">
        <v>307732</v>
      </c>
      <c r="DA183" s="200">
        <v>354812</v>
      </c>
      <c r="DB183" s="200">
        <v>428000</v>
      </c>
      <c r="DC183" s="200">
        <v>547840</v>
      </c>
      <c r="DD183" s="200">
        <v>610328</v>
      </c>
    </row>
    <row r="184" spans="1:108" ht="13" customHeight="1">
      <c r="C184" s="16"/>
      <c r="D184" t="s">
        <v>916</v>
      </c>
      <c r="I184" s="1414" t="str">
        <f>H18</f>
        <v>Crescent Meadows</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917</v>
      </c>
      <c r="BN184" s="111" t="s">
        <v>918</v>
      </c>
      <c r="BS184">
        <v>4</v>
      </c>
      <c r="BT184" t="s">
        <v>919</v>
      </c>
      <c r="CB184" s="224" t="s">
        <v>910</v>
      </c>
      <c r="CC184" s="320">
        <v>1540</v>
      </c>
      <c r="CD184" s="321">
        <v>1650</v>
      </c>
      <c r="CE184" s="320">
        <v>1980</v>
      </c>
      <c r="CF184" s="321">
        <v>2286</v>
      </c>
      <c r="CG184" s="321">
        <v>2550</v>
      </c>
      <c r="CH184" s="322">
        <v>2812</v>
      </c>
      <c r="CI184" s="2"/>
      <c r="CJ184" s="683">
        <v>660</v>
      </c>
      <c r="CK184" s="683">
        <v>802</v>
      </c>
      <c r="CL184" s="683">
        <v>958</v>
      </c>
      <c r="CM184" s="683">
        <v>1158</v>
      </c>
      <c r="CN184" s="683">
        <v>1572</v>
      </c>
      <c r="CR184" s="111" t="s">
        <v>909</v>
      </c>
      <c r="CS184" s="202">
        <v>352022</v>
      </c>
      <c r="CT184" s="202">
        <v>405878</v>
      </c>
      <c r="CU184" s="202">
        <v>489600</v>
      </c>
      <c r="CV184" s="202">
        <v>626688</v>
      </c>
      <c r="CW184" s="202">
        <v>698170</v>
      </c>
      <c r="CX184" s="11"/>
      <c r="CY184" s="111" t="s">
        <v>909</v>
      </c>
      <c r="CZ184" s="202">
        <v>352022</v>
      </c>
      <c r="DA184" s="202">
        <v>405878</v>
      </c>
      <c r="DB184" s="202">
        <v>489600</v>
      </c>
      <c r="DC184" s="202">
        <v>626688</v>
      </c>
      <c r="DD184" s="202">
        <v>698170</v>
      </c>
    </row>
    <row r="185" spans="1:108" ht="13" customHeight="1">
      <c r="C185" s="16"/>
      <c r="D185" t="s">
        <v>920</v>
      </c>
      <c r="I185" s="1322"/>
      <c r="J185" s="1322"/>
      <c r="K185" s="1322"/>
      <c r="L185" s="1322"/>
      <c r="M185" s="1322"/>
      <c r="N185" s="1322"/>
      <c r="O185" s="1322"/>
      <c r="P185" s="1322"/>
      <c r="Q185" s="1322"/>
      <c r="R185" s="1322"/>
      <c r="S185" s="1322"/>
      <c r="T185" s="1322"/>
      <c r="U185" s="1322"/>
      <c r="V185" s="1322"/>
      <c r="W185" s="1322"/>
      <c r="X185" s="1322"/>
      <c r="Y185" s="1322"/>
      <c r="Z185" s="1322"/>
      <c r="AA185" s="1322"/>
      <c r="AB185" s="1322"/>
      <c r="AC185" s="1322"/>
      <c r="AD185" s="1322"/>
      <c r="AE185" s="1322"/>
      <c r="BC185" t="s">
        <v>921</v>
      </c>
      <c r="BN185" s="111" t="s">
        <v>922</v>
      </c>
      <c r="BS185">
        <v>7</v>
      </c>
      <c r="BT185" t="s">
        <v>923</v>
      </c>
      <c r="CB185" s="224" t="s">
        <v>912</v>
      </c>
      <c r="CC185" s="320">
        <v>1634</v>
      </c>
      <c r="CD185" s="321">
        <v>1752</v>
      </c>
      <c r="CE185" s="320">
        <v>2102</v>
      </c>
      <c r="CF185" s="321">
        <v>2430</v>
      </c>
      <c r="CG185" s="321">
        <v>2710</v>
      </c>
      <c r="CH185" s="322">
        <v>2990</v>
      </c>
      <c r="CI185" s="2"/>
      <c r="CJ185" s="683">
        <v>1000</v>
      </c>
      <c r="CK185" s="683">
        <v>1292</v>
      </c>
      <c r="CL185" s="683">
        <v>1450</v>
      </c>
      <c r="CM185" s="683">
        <v>2043</v>
      </c>
      <c r="CN185" s="683">
        <v>2380</v>
      </c>
      <c r="CR185" s="111" t="s">
        <v>911</v>
      </c>
      <c r="CS185" s="200">
        <v>352022</v>
      </c>
      <c r="CT185" s="200">
        <v>405878</v>
      </c>
      <c r="CU185" s="200">
        <v>489600</v>
      </c>
      <c r="CV185" s="200">
        <v>626688</v>
      </c>
      <c r="CW185" s="200">
        <v>698170</v>
      </c>
      <c r="CX185" s="11"/>
      <c r="CY185" s="111" t="s">
        <v>911</v>
      </c>
      <c r="CZ185" s="200">
        <v>352022</v>
      </c>
      <c r="DA185" s="200">
        <v>405878</v>
      </c>
      <c r="DB185" s="200">
        <v>489600</v>
      </c>
      <c r="DC185" s="200">
        <v>626688</v>
      </c>
      <c r="DD185" s="200">
        <v>698170</v>
      </c>
    </row>
    <row r="186" spans="1:108" ht="13" customHeight="1">
      <c r="C186" s="16"/>
      <c r="E186" t="s">
        <v>924</v>
      </c>
      <c r="BN186" s="111" t="s">
        <v>925</v>
      </c>
      <c r="BS186">
        <v>4</v>
      </c>
      <c r="BT186" t="s">
        <v>926</v>
      </c>
      <c r="CB186" s="224" t="s">
        <v>915</v>
      </c>
      <c r="CC186" s="320">
        <v>2316</v>
      </c>
      <c r="CD186" s="321">
        <v>2482</v>
      </c>
      <c r="CE186" s="320">
        <v>2980</v>
      </c>
      <c r="CF186" s="321">
        <v>3442</v>
      </c>
      <c r="CG186" s="321">
        <v>3840</v>
      </c>
      <c r="CH186" s="322">
        <v>4236</v>
      </c>
      <c r="CI186" s="2"/>
      <c r="CJ186" s="683">
        <v>2340</v>
      </c>
      <c r="CK186" s="683">
        <v>2367</v>
      </c>
      <c r="CL186" s="683">
        <v>2879</v>
      </c>
      <c r="CM186" s="683">
        <v>3990</v>
      </c>
      <c r="CN186" s="683">
        <v>4400</v>
      </c>
      <c r="CR186" s="111" t="s">
        <v>914</v>
      </c>
      <c r="CS186" s="202">
        <v>404366</v>
      </c>
      <c r="CT186" s="202">
        <v>466230</v>
      </c>
      <c r="CU186" s="202">
        <v>562400</v>
      </c>
      <c r="CV186" s="202">
        <v>719872</v>
      </c>
      <c r="CW186" s="202">
        <v>801982</v>
      </c>
      <c r="CX186" s="11"/>
      <c r="CY186" s="111" t="s">
        <v>914</v>
      </c>
      <c r="CZ186" s="202">
        <v>404366</v>
      </c>
      <c r="DA186" s="202">
        <v>466230</v>
      </c>
      <c r="DB186" s="202">
        <v>562400</v>
      </c>
      <c r="DC186" s="202">
        <v>719872</v>
      </c>
      <c r="DD186" s="202">
        <v>801982</v>
      </c>
    </row>
    <row r="187" spans="1:108" ht="13" customHeight="1">
      <c r="C187" s="16"/>
      <c r="E187" s="1484" t="s">
        <v>927</v>
      </c>
      <c r="F187" s="1484"/>
      <c r="G187" s="1484"/>
      <c r="H187" s="1484"/>
      <c r="I187" s="1484"/>
      <c r="J187" s="1484"/>
      <c r="K187" s="1484"/>
      <c r="L187" s="1484"/>
      <c r="M187" s="1484"/>
      <c r="N187" s="1484"/>
      <c r="O187" s="1484"/>
      <c r="P187" s="1484"/>
      <c r="Q187" s="1484"/>
      <c r="R187" s="1484"/>
      <c r="S187" s="1484"/>
      <c r="T187" s="1484"/>
      <c r="U187" s="1484"/>
      <c r="V187" s="1484"/>
      <c r="W187" s="1484"/>
      <c r="X187" s="1484"/>
      <c r="Y187" s="1484"/>
      <c r="Z187" s="1484"/>
      <c r="AA187" s="1484"/>
      <c r="AB187" s="1484"/>
      <c r="AC187" s="1484"/>
      <c r="AD187" s="1484"/>
      <c r="AE187" s="1484"/>
      <c r="BN187" s="111" t="s">
        <v>928</v>
      </c>
      <c r="BS187">
        <v>6</v>
      </c>
      <c r="BT187" t="s">
        <v>929</v>
      </c>
      <c r="CB187" s="224" t="s">
        <v>919</v>
      </c>
      <c r="CC187" s="320">
        <v>2570</v>
      </c>
      <c r="CD187" s="321">
        <v>2752</v>
      </c>
      <c r="CE187" s="320">
        <v>3304</v>
      </c>
      <c r="CF187" s="321">
        <v>3816</v>
      </c>
      <c r="CG187" s="321">
        <v>4256</v>
      </c>
      <c r="CH187" s="322">
        <v>4698</v>
      </c>
      <c r="CI187" s="2"/>
      <c r="CJ187" s="683">
        <v>1819</v>
      </c>
      <c r="CK187" s="683">
        <v>2043</v>
      </c>
      <c r="CL187" s="683">
        <v>2684</v>
      </c>
      <c r="CM187" s="683">
        <v>3634</v>
      </c>
      <c r="CN187" s="683">
        <v>3915</v>
      </c>
      <c r="CR187" s="111" t="s">
        <v>918</v>
      </c>
      <c r="CS187" s="200">
        <v>384234</v>
      </c>
      <c r="CT187" s="200">
        <v>443018</v>
      </c>
      <c r="CU187" s="200">
        <v>534400</v>
      </c>
      <c r="CV187" s="200">
        <v>684032</v>
      </c>
      <c r="CW187" s="200">
        <v>762054</v>
      </c>
      <c r="CX187" s="11"/>
      <c r="CY187" s="111" t="s">
        <v>918</v>
      </c>
      <c r="CZ187" s="200">
        <v>384234</v>
      </c>
      <c r="DA187" s="200">
        <v>443018</v>
      </c>
      <c r="DB187" s="200">
        <v>534400</v>
      </c>
      <c r="DC187" s="200">
        <v>684032</v>
      </c>
      <c r="DD187" s="200">
        <v>762054</v>
      </c>
    </row>
    <row r="188" spans="1:108" ht="13" customHeight="1">
      <c r="C188" s="16"/>
      <c r="E188" s="1477"/>
      <c r="F188" s="1477"/>
      <c r="G188" s="1477"/>
      <c r="H188" s="1477"/>
      <c r="I188" s="1477"/>
      <c r="J188" s="1477"/>
      <c r="K188" s="1477"/>
      <c r="L188" s="1477"/>
      <c r="M188" s="1477"/>
      <c r="N188" s="1477"/>
      <c r="O188" s="1477"/>
      <c r="P188" s="1477"/>
      <c r="Q188" s="1477"/>
      <c r="R188" s="1477"/>
      <c r="S188" s="1477"/>
      <c r="T188" s="1477"/>
      <c r="U188" s="1477"/>
      <c r="V188" s="1477"/>
      <c r="W188" s="1477"/>
      <c r="X188" s="1477"/>
      <c r="Y188" s="1477"/>
      <c r="Z188" s="1477"/>
      <c r="AA188" s="1477"/>
      <c r="AB188" s="1477"/>
      <c r="AC188" s="1477"/>
      <c r="AD188" s="1477"/>
      <c r="AE188" s="1477"/>
      <c r="BN188" s="111" t="s">
        <v>930</v>
      </c>
      <c r="BS188">
        <v>7</v>
      </c>
      <c r="BT188" t="s">
        <v>931</v>
      </c>
      <c r="CB188" s="224" t="s">
        <v>923</v>
      </c>
      <c r="CC188" s="320">
        <v>1824</v>
      </c>
      <c r="CD188" s="321">
        <v>1954</v>
      </c>
      <c r="CE188" s="320">
        <v>2344</v>
      </c>
      <c r="CF188" s="321">
        <v>2710</v>
      </c>
      <c r="CG188" s="321">
        <v>3022</v>
      </c>
      <c r="CH188" s="322">
        <v>3336</v>
      </c>
      <c r="CI188" s="2"/>
      <c r="CJ188" s="683">
        <v>1209</v>
      </c>
      <c r="CK188" s="683">
        <v>1217</v>
      </c>
      <c r="CL188" s="683">
        <v>1596</v>
      </c>
      <c r="CM188" s="683">
        <v>2249</v>
      </c>
      <c r="CN188" s="683">
        <v>2708</v>
      </c>
      <c r="CR188" s="111" t="s">
        <v>922</v>
      </c>
      <c r="CS188" s="202">
        <v>352022</v>
      </c>
      <c r="CT188" s="202">
        <v>405878</v>
      </c>
      <c r="CU188" s="202">
        <v>489600</v>
      </c>
      <c r="CV188" s="202">
        <v>626688</v>
      </c>
      <c r="CW188" s="202">
        <v>698170</v>
      </c>
      <c r="CX188" s="11"/>
      <c r="CY188" s="111" t="s">
        <v>922</v>
      </c>
      <c r="CZ188" s="202">
        <v>352022</v>
      </c>
      <c r="DA188" s="202">
        <v>405878</v>
      </c>
      <c r="DB188" s="202">
        <v>489600</v>
      </c>
      <c r="DC188" s="202">
        <v>626688</v>
      </c>
      <c r="DD188" s="202">
        <v>698170</v>
      </c>
    </row>
    <row r="189" spans="1:108" ht="13" customHeight="1">
      <c r="C189" s="16"/>
      <c r="D189" t="s">
        <v>932</v>
      </c>
      <c r="I189" s="1471" t="s">
        <v>788</v>
      </c>
      <c r="J189" s="1369"/>
      <c r="K189" s="1369"/>
      <c r="L189" s="1369"/>
      <c r="M189" s="1369"/>
      <c r="N189" s="1369"/>
      <c r="O189" s="1369"/>
      <c r="P189" s="1369"/>
      <c r="Q189" t="s">
        <v>933</v>
      </c>
      <c r="T189" s="1369" t="s">
        <v>934</v>
      </c>
      <c r="U189" s="1369"/>
      <c r="V189" s="1369"/>
      <c r="W189" s="1369"/>
      <c r="X189" s="1369"/>
      <c r="Y189" s="1369"/>
      <c r="Z189" s="1369"/>
      <c r="AA189" s="1369"/>
      <c r="AB189" s="1369"/>
      <c r="AC189" s="1369"/>
      <c r="AD189" s="1369"/>
      <c r="AE189" s="1369"/>
      <c r="BC189" t="s">
        <v>478</v>
      </c>
      <c r="BH189" s="2" t="s">
        <v>800</v>
      </c>
      <c r="BN189" s="111" t="s">
        <v>935</v>
      </c>
      <c r="BS189">
        <v>5</v>
      </c>
      <c r="BT189" t="s">
        <v>936</v>
      </c>
      <c r="CB189" s="224" t="s">
        <v>926</v>
      </c>
      <c r="CC189" s="320">
        <v>2762</v>
      </c>
      <c r="CD189" s="321">
        <v>2958</v>
      </c>
      <c r="CE189" s="320">
        <v>3552</v>
      </c>
      <c r="CF189" s="321">
        <v>4102</v>
      </c>
      <c r="CG189" s="321">
        <v>4576</v>
      </c>
      <c r="CH189" s="322">
        <v>5050</v>
      </c>
      <c r="CI189" s="2"/>
      <c r="CJ189" s="683">
        <v>2200</v>
      </c>
      <c r="CK189" s="683">
        <v>2344</v>
      </c>
      <c r="CL189" s="683">
        <v>2783</v>
      </c>
      <c r="CM189" s="683">
        <v>3769</v>
      </c>
      <c r="CN189" s="683">
        <v>4467</v>
      </c>
      <c r="CR189" s="111" t="s">
        <v>925</v>
      </c>
      <c r="CS189" s="200">
        <v>396888</v>
      </c>
      <c r="CT189" s="200">
        <v>457608</v>
      </c>
      <c r="CU189" s="200">
        <v>552000</v>
      </c>
      <c r="CV189" s="200">
        <v>706560</v>
      </c>
      <c r="CW189" s="200">
        <v>787152</v>
      </c>
      <c r="CX189" s="11"/>
      <c r="CY189" s="111" t="s">
        <v>925</v>
      </c>
      <c r="CZ189" s="200">
        <v>396888</v>
      </c>
      <c r="DA189" s="200">
        <v>457608</v>
      </c>
      <c r="DB189" s="200">
        <v>552000</v>
      </c>
      <c r="DC189" s="200">
        <v>706560</v>
      </c>
      <c r="DD189" s="200">
        <v>787152</v>
      </c>
    </row>
    <row r="190" spans="1:108" ht="13" customHeight="1">
      <c r="C190" s="16"/>
      <c r="D190" t="s">
        <v>937</v>
      </c>
      <c r="I190" s="1322">
        <v>93291</v>
      </c>
      <c r="J190" s="1322"/>
      <c r="K190" s="1322"/>
      <c r="L190" s="1322"/>
      <c r="M190" s="1322"/>
      <c r="N190" s="1322"/>
      <c r="O190" t="s">
        <v>938</v>
      </c>
      <c r="T190" s="1505">
        <v>10.1</v>
      </c>
      <c r="U190" s="1505"/>
      <c r="V190" s="1505"/>
      <c r="W190" s="1505"/>
      <c r="X190" s="1505"/>
      <c r="Y190" s="1505"/>
      <c r="Z190" s="1505"/>
      <c r="AA190" s="1505"/>
      <c r="AB190" s="1505"/>
      <c r="AC190" s="1505"/>
      <c r="AD190" s="1505"/>
      <c r="AE190" s="1505"/>
      <c r="BC190" t="s">
        <v>939</v>
      </c>
      <c r="BH190" t="s">
        <v>939</v>
      </c>
      <c r="BN190" s="111" t="s">
        <v>940</v>
      </c>
      <c r="BS190">
        <v>6</v>
      </c>
      <c r="BT190" t="s">
        <v>941</v>
      </c>
      <c r="CB190" s="224" t="s">
        <v>929</v>
      </c>
      <c r="CC190" s="320">
        <v>2064</v>
      </c>
      <c r="CD190" s="321">
        <v>2210</v>
      </c>
      <c r="CE190" s="320">
        <v>2652</v>
      </c>
      <c r="CF190" s="321">
        <v>3064</v>
      </c>
      <c r="CG190" s="321">
        <v>3420</v>
      </c>
      <c r="CH190" s="322">
        <v>3772</v>
      </c>
      <c r="CI190" s="2"/>
      <c r="CJ190" s="683">
        <v>1543</v>
      </c>
      <c r="CK190" s="683">
        <v>1666</v>
      </c>
      <c r="CL190" s="683">
        <v>2072</v>
      </c>
      <c r="CM190" s="683">
        <v>2884</v>
      </c>
      <c r="CN190" s="683">
        <v>3321</v>
      </c>
      <c r="CR190" s="111" t="s">
        <v>928</v>
      </c>
      <c r="CS190" s="202">
        <v>331890</v>
      </c>
      <c r="CT190" s="202">
        <v>382666</v>
      </c>
      <c r="CU190" s="202">
        <v>461600</v>
      </c>
      <c r="CV190" s="202">
        <v>590848</v>
      </c>
      <c r="CW190" s="202">
        <v>658242</v>
      </c>
      <c r="CX190" s="11"/>
      <c r="CY190" s="111" t="s">
        <v>928</v>
      </c>
      <c r="CZ190" s="202">
        <v>331890</v>
      </c>
      <c r="DA190" s="202">
        <v>382666</v>
      </c>
      <c r="DB190" s="202">
        <v>461600</v>
      </c>
      <c r="DC190" s="202">
        <v>590848</v>
      </c>
      <c r="DD190" s="202">
        <v>658242</v>
      </c>
    </row>
    <row r="191" spans="1:108" ht="13" customHeight="1">
      <c r="C191" s="16"/>
      <c r="D191" t="s">
        <v>942</v>
      </c>
      <c r="N191" s="1484" t="s">
        <v>943</v>
      </c>
      <c r="O191" s="1484"/>
      <c r="P191" s="1484"/>
      <c r="Q191" s="1484"/>
      <c r="R191" s="1484"/>
      <c r="S191" s="1484"/>
      <c r="T191" s="1484"/>
      <c r="U191" s="1484"/>
      <c r="V191" s="1484"/>
      <c r="W191" s="1484"/>
      <c r="X191" s="1484"/>
      <c r="Y191" s="1484"/>
      <c r="Z191" s="1484"/>
      <c r="AA191" s="1484"/>
      <c r="AB191" s="1484"/>
      <c r="AC191" s="1484"/>
      <c r="AD191" s="1484"/>
      <c r="AE191" s="1484"/>
      <c r="BC191" t="s">
        <v>944</v>
      </c>
      <c r="BH191" t="s">
        <v>944</v>
      </c>
      <c r="BN191" s="111" t="s">
        <v>945</v>
      </c>
      <c r="BS191">
        <v>4</v>
      </c>
      <c r="BT191" t="s">
        <v>946</v>
      </c>
      <c r="CB191" s="224" t="s">
        <v>931</v>
      </c>
      <c r="CC191" s="320">
        <v>1612</v>
      </c>
      <c r="CD191" s="321">
        <v>1726</v>
      </c>
      <c r="CE191" s="320">
        <v>2072</v>
      </c>
      <c r="CF191" s="321">
        <v>2394</v>
      </c>
      <c r="CG191" s="321">
        <v>2672</v>
      </c>
      <c r="CH191" s="322">
        <v>2948</v>
      </c>
      <c r="CI191" s="2"/>
      <c r="CJ191" s="683">
        <v>803</v>
      </c>
      <c r="CK191" s="683">
        <v>887</v>
      </c>
      <c r="CL191" s="683">
        <v>1165</v>
      </c>
      <c r="CM191" s="683">
        <v>1642</v>
      </c>
      <c r="CN191" s="683">
        <v>1867</v>
      </c>
      <c r="CR191" s="111" t="s">
        <v>930</v>
      </c>
      <c r="CS191" s="200">
        <v>352022</v>
      </c>
      <c r="CT191" s="200">
        <v>405878</v>
      </c>
      <c r="CU191" s="200">
        <v>489600</v>
      </c>
      <c r="CV191" s="200">
        <v>626688</v>
      </c>
      <c r="CW191" s="200">
        <v>698170</v>
      </c>
      <c r="CX191" s="11"/>
      <c r="CY191" s="111" t="s">
        <v>930</v>
      </c>
      <c r="CZ191" s="200">
        <v>352022</v>
      </c>
      <c r="DA191" s="200">
        <v>405878</v>
      </c>
      <c r="DB191" s="200">
        <v>489600</v>
      </c>
      <c r="DC191" s="200">
        <v>626688</v>
      </c>
      <c r="DD191" s="200">
        <v>698170</v>
      </c>
    </row>
    <row r="192" spans="1:108" ht="13" customHeight="1">
      <c r="C192" s="16"/>
      <c r="M192" s="1104"/>
      <c r="N192" s="1477"/>
      <c r="O192" s="1477"/>
      <c r="P192" s="1477"/>
      <c r="Q192" s="1477"/>
      <c r="R192" s="1477"/>
      <c r="S192" s="1477"/>
      <c r="T192" s="1477"/>
      <c r="U192" s="1477"/>
      <c r="V192" s="1477"/>
      <c r="W192" s="1477"/>
      <c r="X192" s="1477"/>
      <c r="Y192" s="1477"/>
      <c r="Z192" s="1477"/>
      <c r="AA192" s="1477"/>
      <c r="AB192" s="1477"/>
      <c r="AC192" s="1477"/>
      <c r="AD192" s="1477"/>
      <c r="AE192" s="1477"/>
      <c r="BC192" t="s">
        <v>947</v>
      </c>
      <c r="BH192" s="2" t="s">
        <v>948</v>
      </c>
      <c r="BN192" s="111" t="s">
        <v>949</v>
      </c>
      <c r="BS192">
        <v>5</v>
      </c>
      <c r="BT192" t="s">
        <v>950</v>
      </c>
      <c r="CB192" s="224" t="s">
        <v>936</v>
      </c>
      <c r="CC192" s="320">
        <v>1794</v>
      </c>
      <c r="CD192" s="321">
        <v>1922</v>
      </c>
      <c r="CE192" s="320">
        <v>2304</v>
      </c>
      <c r="CF192" s="321">
        <v>2664</v>
      </c>
      <c r="CG192" s="321">
        <v>2972</v>
      </c>
      <c r="CH192" s="322">
        <v>3280</v>
      </c>
      <c r="CI192" s="2"/>
      <c r="CJ192" s="683">
        <v>1517</v>
      </c>
      <c r="CK192" s="683">
        <v>1611</v>
      </c>
      <c r="CL192" s="683">
        <v>2010</v>
      </c>
      <c r="CM192" s="683">
        <v>2707</v>
      </c>
      <c r="CN192" s="683">
        <v>3304</v>
      </c>
      <c r="CR192" s="111" t="s">
        <v>935</v>
      </c>
      <c r="CS192" s="202">
        <v>324988</v>
      </c>
      <c r="CT192" s="202">
        <v>374708</v>
      </c>
      <c r="CU192" s="202">
        <v>452000</v>
      </c>
      <c r="CV192" s="202">
        <v>578560</v>
      </c>
      <c r="CW192" s="202">
        <v>644552</v>
      </c>
      <c r="CX192" s="11"/>
      <c r="CY192" s="111" t="s">
        <v>935</v>
      </c>
      <c r="CZ192" s="202">
        <v>324988</v>
      </c>
      <c r="DA192" s="202">
        <v>374708</v>
      </c>
      <c r="DB192" s="202">
        <v>452000</v>
      </c>
      <c r="DC192" s="202">
        <v>578560</v>
      </c>
      <c r="DD192" s="202">
        <v>644552</v>
      </c>
    </row>
    <row r="193" spans="1:108" ht="13" customHeight="1">
      <c r="C193" s="16"/>
      <c r="D193" t="s">
        <v>951</v>
      </c>
      <c r="M193" s="1104"/>
      <c r="N193" s="706"/>
      <c r="O193" s="706"/>
      <c r="P193" s="706"/>
      <c r="Q193" s="706"/>
      <c r="R193" s="706"/>
      <c r="S193" s="706"/>
      <c r="T193" s="1509" t="s">
        <v>896</v>
      </c>
      <c r="U193" s="1509"/>
      <c r="V193" s="1509"/>
      <c r="W193" s="1509"/>
      <c r="X193" s="1509"/>
      <c r="Y193" s="1509"/>
      <c r="Z193" s="1509"/>
      <c r="AA193" s="1509"/>
      <c r="AB193" s="1509"/>
      <c r="AC193" s="1509"/>
      <c r="AD193" s="1509"/>
      <c r="AE193" s="1509"/>
      <c r="AF193" s="1509"/>
      <c r="AG193" s="1509"/>
      <c r="AH193" s="1509"/>
      <c r="AI193" s="1509"/>
      <c r="BC193" t="s">
        <v>952</v>
      </c>
      <c r="BH193" s="2" t="s">
        <v>953</v>
      </c>
      <c r="BN193" s="111" t="s">
        <v>954</v>
      </c>
      <c r="BS193">
        <v>4</v>
      </c>
      <c r="BT193" t="s">
        <v>955</v>
      </c>
      <c r="CB193" s="224" t="s">
        <v>941</v>
      </c>
      <c r="CC193" s="320">
        <v>2064</v>
      </c>
      <c r="CD193" s="321">
        <v>2210</v>
      </c>
      <c r="CE193" s="320">
        <v>2652</v>
      </c>
      <c r="CF193" s="321">
        <v>3064</v>
      </c>
      <c r="CG193" s="321">
        <v>3420</v>
      </c>
      <c r="CH193" s="322">
        <v>3772</v>
      </c>
      <c r="CI193" s="2"/>
      <c r="CJ193" s="683">
        <v>1543</v>
      </c>
      <c r="CK193" s="683">
        <v>1666</v>
      </c>
      <c r="CL193" s="683">
        <v>2072</v>
      </c>
      <c r="CM193" s="683">
        <v>2884</v>
      </c>
      <c r="CN193" s="683">
        <v>3321</v>
      </c>
      <c r="CR193" s="111" t="s">
        <v>940</v>
      </c>
      <c r="CS193" s="200">
        <v>331890</v>
      </c>
      <c r="CT193" s="200">
        <v>382666</v>
      </c>
      <c r="CU193" s="200">
        <v>461600</v>
      </c>
      <c r="CV193" s="200">
        <v>590848</v>
      </c>
      <c r="CW193" s="200">
        <v>658242</v>
      </c>
      <c r="CX193" s="11"/>
      <c r="CY193" s="111" t="s">
        <v>940</v>
      </c>
      <c r="CZ193" s="200">
        <v>331890</v>
      </c>
      <c r="DA193" s="200">
        <v>382666</v>
      </c>
      <c r="DB193" s="200">
        <v>461600</v>
      </c>
      <c r="DC193" s="200">
        <v>590848</v>
      </c>
      <c r="DD193" s="200">
        <v>658242</v>
      </c>
    </row>
    <row r="194" spans="1:108" ht="13" customHeight="1">
      <c r="C194" s="16"/>
      <c r="D194" s="2" t="s">
        <v>956</v>
      </c>
      <c r="M194" s="1104"/>
      <c r="N194" s="706"/>
      <c r="O194" s="706"/>
      <c r="P194" s="706"/>
      <c r="Q194" s="706"/>
      <c r="R194" s="706"/>
      <c r="S194" s="706"/>
      <c r="AH194" s="1353" t="s">
        <v>695</v>
      </c>
      <c r="AI194" s="1353"/>
      <c r="BC194" t="s">
        <v>948</v>
      </c>
      <c r="BN194" s="111" t="s">
        <v>957</v>
      </c>
      <c r="BS194">
        <v>2</v>
      </c>
      <c r="BT194" t="s">
        <v>958</v>
      </c>
      <c r="CB194" s="224" t="s">
        <v>946</v>
      </c>
      <c r="CC194" s="320">
        <v>2142</v>
      </c>
      <c r="CD194" s="321">
        <v>2296</v>
      </c>
      <c r="CE194" s="320">
        <v>2754</v>
      </c>
      <c r="CF194" s="321">
        <v>3182</v>
      </c>
      <c r="CG194" s="321">
        <v>3550</v>
      </c>
      <c r="CH194" s="322">
        <v>3916</v>
      </c>
      <c r="CI194" s="2"/>
      <c r="CJ194" s="683">
        <v>1707</v>
      </c>
      <c r="CK194" s="683">
        <v>1917</v>
      </c>
      <c r="CL194" s="683">
        <v>2519</v>
      </c>
      <c r="CM194" s="683">
        <v>3550</v>
      </c>
      <c r="CN194" s="683">
        <v>4121</v>
      </c>
      <c r="CR194" s="111" t="s">
        <v>945</v>
      </c>
      <c r="CS194" s="202">
        <v>352022</v>
      </c>
      <c r="CT194" s="202">
        <v>405878</v>
      </c>
      <c r="CU194" s="202">
        <v>489600</v>
      </c>
      <c r="CV194" s="202">
        <v>626688</v>
      </c>
      <c r="CW194" s="202">
        <v>698170</v>
      </c>
      <c r="CX194" s="11"/>
      <c r="CY194" s="111" t="s">
        <v>945</v>
      </c>
      <c r="CZ194" s="202">
        <v>352022</v>
      </c>
      <c r="DA194" s="202">
        <v>405878</v>
      </c>
      <c r="DB194" s="202">
        <v>489600</v>
      </c>
      <c r="DC194" s="202">
        <v>626688</v>
      </c>
      <c r="DD194" s="202">
        <v>698170</v>
      </c>
    </row>
    <row r="195" spans="1:108" ht="13" customHeight="1">
      <c r="C195" s="16"/>
      <c r="D195" t="s">
        <v>959</v>
      </c>
      <c r="T195" s="1353" t="s">
        <v>695</v>
      </c>
      <c r="U195" s="1353"/>
      <c r="W195" t="s">
        <v>960</v>
      </c>
      <c r="AH195" s="1353">
        <v>21</v>
      </c>
      <c r="AI195" s="1353"/>
      <c r="BC195" t="s">
        <v>961</v>
      </c>
      <c r="BN195" s="111" t="s">
        <v>962</v>
      </c>
      <c r="BS195">
        <v>6</v>
      </c>
      <c r="BT195" t="s">
        <v>963</v>
      </c>
      <c r="CB195" s="224" t="s">
        <v>950</v>
      </c>
      <c r="CC195" s="320">
        <v>1794</v>
      </c>
      <c r="CD195" s="321">
        <v>1922</v>
      </c>
      <c r="CE195" s="320">
        <v>2304</v>
      </c>
      <c r="CF195" s="321">
        <v>2664</v>
      </c>
      <c r="CG195" s="321">
        <v>2972</v>
      </c>
      <c r="CH195" s="322">
        <v>3280</v>
      </c>
      <c r="CI195" s="2"/>
      <c r="CJ195" s="683">
        <v>1517</v>
      </c>
      <c r="CK195" s="683">
        <v>1611</v>
      </c>
      <c r="CL195" s="683">
        <v>2010</v>
      </c>
      <c r="CM195" s="683">
        <v>2707</v>
      </c>
      <c r="CN195" s="683">
        <v>3304</v>
      </c>
      <c r="CR195" s="111" t="s">
        <v>949</v>
      </c>
      <c r="CS195" s="200">
        <v>324988</v>
      </c>
      <c r="CT195" s="200">
        <v>374708</v>
      </c>
      <c r="CU195" s="200">
        <v>452000</v>
      </c>
      <c r="CV195" s="200">
        <v>578560</v>
      </c>
      <c r="CW195" s="200">
        <v>644552</v>
      </c>
      <c r="CX195" s="11"/>
      <c r="CY195" s="111" t="s">
        <v>949</v>
      </c>
      <c r="CZ195" s="200">
        <v>324988</v>
      </c>
      <c r="DA195" s="200">
        <v>374708</v>
      </c>
      <c r="DB195" s="200">
        <v>452000</v>
      </c>
      <c r="DC195" s="200">
        <v>578560</v>
      </c>
      <c r="DD195" s="200">
        <v>644552</v>
      </c>
    </row>
    <row r="196" spans="1:108" ht="13" customHeight="1">
      <c r="C196" s="16"/>
      <c r="D196" t="s">
        <v>964</v>
      </c>
      <c r="T196" s="1362" t="s">
        <v>695</v>
      </c>
      <c r="U196" s="1362"/>
      <c r="W196" t="s">
        <v>965</v>
      </c>
      <c r="AH196" s="1353">
        <v>33</v>
      </c>
      <c r="AI196" s="1353"/>
      <c r="BN196" s="111" t="s">
        <v>966</v>
      </c>
      <c r="BS196">
        <v>4</v>
      </c>
      <c r="BT196" t="s">
        <v>967</v>
      </c>
      <c r="CB196" s="224" t="s">
        <v>955</v>
      </c>
      <c r="CC196" s="320">
        <v>2652</v>
      </c>
      <c r="CD196" s="321">
        <v>2840</v>
      </c>
      <c r="CE196" s="320">
        <v>3410</v>
      </c>
      <c r="CF196" s="321">
        <v>3940</v>
      </c>
      <c r="CG196" s="321">
        <v>4394</v>
      </c>
      <c r="CH196" s="322">
        <v>4848</v>
      </c>
      <c r="CI196" s="2"/>
      <c r="CJ196" s="683">
        <v>2062</v>
      </c>
      <c r="CK196" s="683">
        <v>2248</v>
      </c>
      <c r="CL196" s="683">
        <v>2833</v>
      </c>
      <c r="CM196" s="683">
        <v>3819</v>
      </c>
      <c r="CN196" s="683">
        <v>4638</v>
      </c>
      <c r="CR196" s="111" t="s">
        <v>954</v>
      </c>
      <c r="CS196" s="202">
        <v>353173</v>
      </c>
      <c r="CT196" s="202">
        <v>407205</v>
      </c>
      <c r="CU196" s="202">
        <v>491200</v>
      </c>
      <c r="CV196" s="202">
        <v>628736</v>
      </c>
      <c r="CW196" s="202">
        <v>700451</v>
      </c>
      <c r="CX196" s="11"/>
      <c r="CY196" s="111" t="s">
        <v>954</v>
      </c>
      <c r="CZ196" s="202">
        <v>353173</v>
      </c>
      <c r="DA196" s="202">
        <v>407205</v>
      </c>
      <c r="DB196" s="202">
        <v>491200</v>
      </c>
      <c r="DC196" s="202">
        <v>628736</v>
      </c>
      <c r="DD196" s="202">
        <v>700451</v>
      </c>
    </row>
    <row r="197" spans="1:108" ht="13" customHeight="1">
      <c r="C197" s="16"/>
      <c r="D197" s="2" t="s">
        <v>968</v>
      </c>
      <c r="T197" s="1362" t="s">
        <v>695</v>
      </c>
      <c r="U197" s="1362"/>
      <c r="W197" t="s">
        <v>969</v>
      </c>
      <c r="AH197" s="1353">
        <v>16</v>
      </c>
      <c r="AI197" s="1353"/>
      <c r="BC197" t="s">
        <v>478</v>
      </c>
      <c r="BN197" s="111" t="s">
        <v>970</v>
      </c>
      <c r="BS197">
        <v>2</v>
      </c>
      <c r="BT197" t="s">
        <v>971</v>
      </c>
      <c r="CB197" s="224" t="s">
        <v>958</v>
      </c>
      <c r="CC197" s="320">
        <v>3426</v>
      </c>
      <c r="CD197" s="321">
        <v>3672</v>
      </c>
      <c r="CE197" s="320">
        <v>4406</v>
      </c>
      <c r="CF197" s="321">
        <v>5090</v>
      </c>
      <c r="CG197" s="321">
        <v>5680</v>
      </c>
      <c r="CH197" s="322">
        <v>6266</v>
      </c>
      <c r="CI197" s="2"/>
      <c r="CJ197" s="683">
        <v>2292</v>
      </c>
      <c r="CK197" s="683">
        <v>2818</v>
      </c>
      <c r="CL197" s="683">
        <v>3359</v>
      </c>
      <c r="CM197" s="683">
        <v>4112</v>
      </c>
      <c r="CN197" s="683">
        <v>4473</v>
      </c>
      <c r="CR197" s="111" t="s">
        <v>957</v>
      </c>
      <c r="CS197" s="200">
        <v>689665</v>
      </c>
      <c r="CT197" s="200">
        <v>795177</v>
      </c>
      <c r="CU197" s="200">
        <v>959200</v>
      </c>
      <c r="CV197" s="200">
        <v>1227776</v>
      </c>
      <c r="CW197" s="200">
        <v>1367819</v>
      </c>
      <c r="CX197" s="11"/>
      <c r="CY197" s="111" t="s">
        <v>957</v>
      </c>
      <c r="CZ197" s="200">
        <v>689665</v>
      </c>
      <c r="DA197" s="200">
        <v>795177</v>
      </c>
      <c r="DB197" s="200">
        <v>959200</v>
      </c>
      <c r="DC197" s="200">
        <v>1227776</v>
      </c>
      <c r="DD197" s="200">
        <v>1367819</v>
      </c>
    </row>
    <row r="198" spans="1:108" s="11" customFormat="1" ht="13" customHeight="1">
      <c r="A198"/>
      <c r="B198"/>
      <c r="C198" s="16"/>
      <c r="D198" s="2" t="s">
        <v>972</v>
      </c>
      <c r="E198"/>
      <c r="F198"/>
      <c r="G198"/>
      <c r="H198"/>
      <c r="I198"/>
      <c r="J198"/>
      <c r="K198"/>
      <c r="L198"/>
      <c r="M198"/>
      <c r="N198"/>
      <c r="O198"/>
      <c r="P198"/>
      <c r="Q198"/>
      <c r="R198"/>
      <c r="S198"/>
      <c r="T198" s="1362">
        <v>0</v>
      </c>
      <c r="U198" s="1362"/>
      <c r="V198"/>
      <c r="X198" s="1487" t="s">
        <v>973</v>
      </c>
      <c r="Y198" s="1487"/>
      <c r="Z198" s="1487"/>
      <c r="AA198" s="1487"/>
      <c r="AB198" s="1487"/>
      <c r="AC198" s="1487"/>
      <c r="AD198" s="1487"/>
      <c r="AE198" s="1487"/>
      <c r="AF198" s="1487"/>
      <c r="AG198" s="1487"/>
      <c r="AH198" s="1487"/>
      <c r="AI198" s="1487"/>
      <c r="AJ198" s="1487"/>
      <c r="AK198" s="1487"/>
      <c r="AL198" s="1487"/>
      <c r="AM198" s="1487"/>
      <c r="AN198" s="1487"/>
      <c r="AO198" s="1487"/>
      <c r="AP198" s="1487"/>
      <c r="AQ198" s="1487"/>
      <c r="AR198" s="1487"/>
      <c r="AS198" s="1487"/>
      <c r="AT198" s="1487"/>
      <c r="AU198"/>
      <c r="AV198"/>
      <c r="AW198"/>
      <c r="AX198"/>
      <c r="AY198"/>
      <c r="AZ198" s="23"/>
      <c r="BA198" s="23"/>
      <c r="BC198" s="11" t="s">
        <v>800</v>
      </c>
      <c r="BD198"/>
      <c r="BN198" s="111" t="s">
        <v>974</v>
      </c>
      <c r="BO198"/>
      <c r="BP198"/>
      <c r="BQ198"/>
      <c r="BR198"/>
      <c r="BS198">
        <v>4</v>
      </c>
      <c r="BT198" t="s">
        <v>975</v>
      </c>
      <c r="BU198"/>
      <c r="BV198" s="24"/>
      <c r="CB198" s="224" t="s">
        <v>963</v>
      </c>
      <c r="CC198" s="320">
        <v>1686</v>
      </c>
      <c r="CD198" s="321">
        <v>1808</v>
      </c>
      <c r="CE198" s="320">
        <v>2170</v>
      </c>
      <c r="CF198" s="321">
        <v>2506</v>
      </c>
      <c r="CG198" s="321">
        <v>2796</v>
      </c>
      <c r="CH198" s="322">
        <v>3086</v>
      </c>
      <c r="CI198" s="2"/>
      <c r="CJ198" s="683">
        <v>1122</v>
      </c>
      <c r="CK198" s="683">
        <v>1245</v>
      </c>
      <c r="CL198" s="683">
        <v>1607</v>
      </c>
      <c r="CM198" s="683">
        <v>2265</v>
      </c>
      <c r="CN198" s="683">
        <v>2727</v>
      </c>
      <c r="CR198" s="111" t="s">
        <v>962</v>
      </c>
      <c r="CS198" s="202">
        <v>307732</v>
      </c>
      <c r="CT198" s="202">
        <v>354812</v>
      </c>
      <c r="CU198" s="202">
        <v>428000</v>
      </c>
      <c r="CV198" s="202">
        <v>547840</v>
      </c>
      <c r="CW198" s="202">
        <v>610328</v>
      </c>
      <c r="CY198" s="111" t="s">
        <v>962</v>
      </c>
      <c r="CZ198" s="202">
        <v>307732</v>
      </c>
      <c r="DA198" s="202">
        <v>354812</v>
      </c>
      <c r="DB198" s="202">
        <v>428000</v>
      </c>
      <c r="DC198" s="202">
        <v>547840</v>
      </c>
      <c r="DD198" s="202">
        <v>610328</v>
      </c>
    </row>
    <row r="199" spans="1:108" s="11" customFormat="1" ht="13" customHeight="1">
      <c r="A199"/>
      <c r="B199"/>
      <c r="C199" s="16"/>
      <c r="D199" s="68" t="s">
        <v>976</v>
      </c>
      <c r="E199"/>
      <c r="F199"/>
      <c r="G199"/>
      <c r="H199"/>
      <c r="I199"/>
      <c r="J199"/>
      <c r="K199"/>
      <c r="L199"/>
      <c r="M199"/>
      <c r="N199"/>
      <c r="O199"/>
      <c r="P199"/>
      <c r="Q199"/>
      <c r="R199"/>
      <c r="S199"/>
      <c r="T199" s="1353" t="s">
        <v>695</v>
      </c>
      <c r="U199" s="1353"/>
      <c r="V199"/>
      <c r="W199"/>
      <c r="X199" s="1487"/>
      <c r="Y199" s="1487"/>
      <c r="Z199" s="1487"/>
      <c r="AA199" s="1487"/>
      <c r="AB199" s="1487"/>
      <c r="AC199" s="1487"/>
      <c r="AD199" s="1487"/>
      <c r="AE199" s="1487"/>
      <c r="AF199" s="1487"/>
      <c r="AG199" s="1487"/>
      <c r="AH199" s="1487"/>
      <c r="AI199" s="1487"/>
      <c r="AJ199" s="1487"/>
      <c r="AK199" s="1487"/>
      <c r="AL199" s="1487"/>
      <c r="AM199" s="1487"/>
      <c r="AN199" s="1487"/>
      <c r="AO199" s="1487"/>
      <c r="AP199" s="1487"/>
      <c r="AQ199" s="1487"/>
      <c r="AR199" s="1487"/>
      <c r="AS199" s="1487"/>
      <c r="AT199" s="1487"/>
      <c r="AU199"/>
      <c r="AV199"/>
      <c r="AW199"/>
      <c r="AX199"/>
      <c r="AY199"/>
      <c r="AZ199" s="23"/>
      <c r="BA199" s="23"/>
      <c r="BC199" t="s">
        <v>801</v>
      </c>
      <c r="BD199"/>
      <c r="BN199" s="111" t="s">
        <v>977</v>
      </c>
      <c r="BO199"/>
      <c r="BP199"/>
      <c r="BQ199"/>
      <c r="BR199"/>
      <c r="BS199">
        <v>2</v>
      </c>
      <c r="BT199" s="25" t="s">
        <v>978</v>
      </c>
      <c r="BU199"/>
      <c r="BV199" s="24"/>
      <c r="CB199" s="224" t="s">
        <v>967</v>
      </c>
      <c r="CC199" s="320">
        <v>2230</v>
      </c>
      <c r="CD199" s="321">
        <v>2388</v>
      </c>
      <c r="CE199" s="320">
        <v>2864</v>
      </c>
      <c r="CF199" s="321">
        <v>3310</v>
      </c>
      <c r="CG199" s="321">
        <v>3692</v>
      </c>
      <c r="CH199" s="322">
        <v>4074</v>
      </c>
      <c r="CI199" s="2"/>
      <c r="CJ199" s="683">
        <v>1541</v>
      </c>
      <c r="CK199" s="683">
        <v>1731</v>
      </c>
      <c r="CL199" s="683">
        <v>2274</v>
      </c>
      <c r="CM199" s="683">
        <v>3045</v>
      </c>
      <c r="CN199" s="683">
        <v>3465</v>
      </c>
      <c r="CR199" s="111" t="s">
        <v>966</v>
      </c>
      <c r="CS199" s="200">
        <v>404366</v>
      </c>
      <c r="CT199" s="200">
        <v>466230</v>
      </c>
      <c r="CU199" s="200">
        <v>562400</v>
      </c>
      <c r="CV199" s="200">
        <v>719872</v>
      </c>
      <c r="CW199" s="200">
        <v>801982</v>
      </c>
      <c r="CY199" s="111" t="s">
        <v>966</v>
      </c>
      <c r="CZ199" s="200">
        <v>404366</v>
      </c>
      <c r="DA199" s="200">
        <v>466230</v>
      </c>
      <c r="DB199" s="200">
        <v>562400</v>
      </c>
      <c r="DC199" s="200">
        <v>719872</v>
      </c>
      <c r="DD199" s="200">
        <v>801982</v>
      </c>
    </row>
    <row r="200" spans="1:108" s="11" customFormat="1" ht="13" customHeight="1">
      <c r="A200"/>
      <c r="B200"/>
      <c r="C200" s="16"/>
      <c r="D200" s="11" t="s">
        <v>979</v>
      </c>
      <c r="T200" s="1353" t="s">
        <v>695</v>
      </c>
      <c r="U200" s="1353"/>
      <c r="V200"/>
      <c r="W200"/>
      <c r="X200"/>
      <c r="Y200"/>
      <c r="AA200"/>
      <c r="AB200" s="1027" t="s">
        <v>980</v>
      </c>
      <c r="AC200"/>
      <c r="AF200"/>
      <c r="AG200"/>
      <c r="AH200" s="1063"/>
      <c r="AJ200"/>
      <c r="AK200"/>
      <c r="AL200"/>
      <c r="AM200"/>
      <c r="AN200"/>
      <c r="AO200"/>
      <c r="AP200"/>
      <c r="AQ200"/>
      <c r="AR200"/>
      <c r="AS200"/>
      <c r="AU200"/>
      <c r="AV200"/>
      <c r="AW200"/>
      <c r="AX200"/>
      <c r="AY200"/>
      <c r="AZ200" s="23"/>
      <c r="BA200" s="23"/>
      <c r="BC200" s="2" t="s">
        <v>981</v>
      </c>
      <c r="BD200" s="304"/>
      <c r="BN200" s="111" t="s">
        <v>982</v>
      </c>
      <c r="BO200"/>
      <c r="BP200"/>
      <c r="BQ200"/>
      <c r="BR200"/>
      <c r="BS200">
        <v>2</v>
      </c>
      <c r="BT200" s="25" t="s">
        <v>983</v>
      </c>
      <c r="BU200"/>
      <c r="CB200" s="224" t="s">
        <v>971</v>
      </c>
      <c r="CC200" s="320">
        <v>3426</v>
      </c>
      <c r="CD200" s="321">
        <v>3672</v>
      </c>
      <c r="CE200" s="320">
        <v>4406</v>
      </c>
      <c r="CF200" s="321">
        <v>5090</v>
      </c>
      <c r="CG200" s="321">
        <v>5680</v>
      </c>
      <c r="CH200" s="322">
        <v>6266</v>
      </c>
      <c r="CI200" s="2"/>
      <c r="CJ200" s="683">
        <v>2292</v>
      </c>
      <c r="CK200" s="683">
        <v>2818</v>
      </c>
      <c r="CL200" s="683">
        <v>3359</v>
      </c>
      <c r="CM200" s="683">
        <v>4112</v>
      </c>
      <c r="CN200" s="683">
        <v>4473</v>
      </c>
      <c r="CR200" s="111" t="s">
        <v>970</v>
      </c>
      <c r="CS200" s="201">
        <v>532060</v>
      </c>
      <c r="CT200" s="201">
        <v>613460</v>
      </c>
      <c r="CU200" s="202">
        <v>740000</v>
      </c>
      <c r="CV200" s="201">
        <v>947200</v>
      </c>
      <c r="CW200" s="201">
        <v>1055240</v>
      </c>
      <c r="CY200" s="111" t="s">
        <v>970</v>
      </c>
      <c r="CZ200" s="201">
        <v>532060</v>
      </c>
      <c r="DA200" s="201">
        <v>613460</v>
      </c>
      <c r="DB200" s="201">
        <v>740000</v>
      </c>
      <c r="DC200" s="201">
        <v>947200</v>
      </c>
      <c r="DD200" s="201">
        <v>1055240</v>
      </c>
    </row>
    <row r="201" spans="1:108" s="11" customFormat="1" ht="13" customHeight="1">
      <c r="A201"/>
      <c r="B201"/>
      <c r="C201" s="16"/>
      <c r="E201" s="2" t="s">
        <v>984</v>
      </c>
      <c r="V201"/>
      <c r="X201"/>
      <c r="Y201"/>
      <c r="Z201"/>
      <c r="AB201" s="1027" t="s">
        <v>985</v>
      </c>
      <c r="AC201"/>
      <c r="AH201" s="1063"/>
      <c r="AJ201"/>
      <c r="AK201"/>
      <c r="AL201"/>
      <c r="AM201"/>
      <c r="AN201"/>
      <c r="AO201"/>
      <c r="AP201"/>
      <c r="AQ201"/>
      <c r="AR201"/>
      <c r="AS201"/>
      <c r="AU201"/>
      <c r="AV201"/>
      <c r="AW201"/>
      <c r="AX201"/>
      <c r="AY201"/>
      <c r="AZ201" s="23"/>
      <c r="BA201" s="23"/>
      <c r="BC201" s="2" t="s">
        <v>986</v>
      </c>
      <c r="BD201" s="304"/>
      <c r="BN201" s="111" t="s">
        <v>987</v>
      </c>
      <c r="BO201" s="24"/>
      <c r="BP201" s="25"/>
      <c r="BQ201" s="25"/>
      <c r="BR201" s="25"/>
      <c r="BS201">
        <v>6</v>
      </c>
      <c r="BT201" s="25" t="s">
        <v>988</v>
      </c>
      <c r="BU201"/>
      <c r="CB201" s="224" t="s">
        <v>975</v>
      </c>
      <c r="CC201" s="320">
        <v>2846</v>
      </c>
      <c r="CD201" s="321">
        <v>3050</v>
      </c>
      <c r="CE201" s="320">
        <v>3660</v>
      </c>
      <c r="CF201" s="321">
        <v>4228</v>
      </c>
      <c r="CG201" s="321">
        <v>4716</v>
      </c>
      <c r="CH201" s="322">
        <v>5204</v>
      </c>
      <c r="CI201" s="2"/>
      <c r="CJ201" s="683">
        <v>2330</v>
      </c>
      <c r="CK201" s="683">
        <v>2651</v>
      </c>
      <c r="CL201" s="683">
        <v>2994</v>
      </c>
      <c r="CM201" s="683">
        <v>3996</v>
      </c>
      <c r="CN201" s="683">
        <v>4528</v>
      </c>
      <c r="CR201" s="111" t="s">
        <v>974</v>
      </c>
      <c r="CS201" s="200">
        <v>404366</v>
      </c>
      <c r="CT201" s="200">
        <v>466230</v>
      </c>
      <c r="CU201" s="200">
        <v>562400</v>
      </c>
      <c r="CV201" s="200">
        <v>719872</v>
      </c>
      <c r="CW201" s="200">
        <v>801982</v>
      </c>
      <c r="CY201" s="111" t="s">
        <v>974</v>
      </c>
      <c r="CZ201" s="200">
        <v>404366</v>
      </c>
      <c r="DA201" s="200">
        <v>466230</v>
      </c>
      <c r="DB201" s="200">
        <v>562400</v>
      </c>
      <c r="DC201" s="200">
        <v>719872</v>
      </c>
      <c r="DD201" s="200">
        <v>801982</v>
      </c>
    </row>
    <row r="202" spans="1:108" ht="13" customHeight="1">
      <c r="C202" s="16"/>
      <c r="AE202" s="6"/>
      <c r="BC202" t="s">
        <v>989</v>
      </c>
      <c r="BD202" s="304"/>
      <c r="BN202" s="111" t="s">
        <v>990</v>
      </c>
      <c r="BO202" s="11"/>
      <c r="BP202" s="25"/>
      <c r="BQ202" s="25"/>
      <c r="BR202" s="25"/>
      <c r="BS202">
        <v>7</v>
      </c>
      <c r="BT202" s="25" t="s">
        <v>991</v>
      </c>
      <c r="CB202" s="224" t="s">
        <v>978</v>
      </c>
      <c r="CC202" s="320">
        <v>3226</v>
      </c>
      <c r="CD202" s="321">
        <v>3456</v>
      </c>
      <c r="CE202" s="320">
        <v>4146</v>
      </c>
      <c r="CF202" s="321">
        <v>4792</v>
      </c>
      <c r="CG202" s="321">
        <v>5344</v>
      </c>
      <c r="CH202" s="322">
        <v>5898</v>
      </c>
      <c r="CI202" s="2"/>
      <c r="CJ202" s="683">
        <v>2383</v>
      </c>
      <c r="CK202" s="683">
        <v>2694</v>
      </c>
      <c r="CL202" s="683">
        <v>3132</v>
      </c>
      <c r="CM202" s="683">
        <v>4011</v>
      </c>
      <c r="CN202" s="683">
        <v>4425</v>
      </c>
      <c r="CR202" s="111" t="s">
        <v>977</v>
      </c>
      <c r="CS202" s="201">
        <v>532060</v>
      </c>
      <c r="CT202" s="201">
        <v>613460</v>
      </c>
      <c r="CU202" s="201">
        <v>740000</v>
      </c>
      <c r="CV202" s="201">
        <v>947200</v>
      </c>
      <c r="CW202" s="201">
        <v>1055240</v>
      </c>
      <c r="CX202" s="11"/>
      <c r="CY202" s="111" t="s">
        <v>977</v>
      </c>
      <c r="CZ202" s="201">
        <v>532060</v>
      </c>
      <c r="DA202" s="201">
        <v>613460</v>
      </c>
      <c r="DB202" s="201">
        <v>740000</v>
      </c>
      <c r="DC202" s="201">
        <v>947200</v>
      </c>
      <c r="DD202" s="201">
        <v>1055240</v>
      </c>
    </row>
    <row r="203" spans="1:108" ht="13" customHeight="1">
      <c r="A203" s="1" t="s">
        <v>992</v>
      </c>
      <c r="C203" s="1" t="s">
        <v>993</v>
      </c>
      <c r="BC203" t="s">
        <v>994</v>
      </c>
      <c r="BN203" s="111" t="s">
        <v>995</v>
      </c>
      <c r="BO203" s="11"/>
      <c r="BP203" s="25"/>
      <c r="BQ203" s="25"/>
      <c r="BR203" s="25"/>
      <c r="BS203">
        <v>7</v>
      </c>
      <c r="BT203" s="25" t="s">
        <v>996</v>
      </c>
      <c r="CB203" s="224" t="s">
        <v>983</v>
      </c>
      <c r="CC203" s="320">
        <v>3170</v>
      </c>
      <c r="CD203" s="321">
        <v>3396</v>
      </c>
      <c r="CE203" s="320">
        <v>4074</v>
      </c>
      <c r="CF203" s="321">
        <v>4708</v>
      </c>
      <c r="CG203" s="321">
        <v>5252</v>
      </c>
      <c r="CH203" s="322">
        <v>5796</v>
      </c>
      <c r="CI203" s="2"/>
      <c r="CJ203" s="683">
        <v>2849</v>
      </c>
      <c r="CK203" s="683">
        <v>3085</v>
      </c>
      <c r="CL203" s="683">
        <v>4054</v>
      </c>
      <c r="CM203" s="683">
        <v>5000</v>
      </c>
      <c r="CN203" s="683">
        <v>5504</v>
      </c>
      <c r="CR203" s="111" t="s">
        <v>982</v>
      </c>
      <c r="CS203" s="200">
        <v>404366</v>
      </c>
      <c r="CT203" s="200">
        <v>466230</v>
      </c>
      <c r="CU203" s="200">
        <v>562400</v>
      </c>
      <c r="CV203" s="200">
        <v>719872</v>
      </c>
      <c r="CW203" s="200">
        <v>801982</v>
      </c>
      <c r="CX203" s="11"/>
      <c r="CY203" s="111" t="s">
        <v>982</v>
      </c>
      <c r="CZ203" s="200">
        <v>404366</v>
      </c>
      <c r="DA203" s="200">
        <v>466230</v>
      </c>
      <c r="DB203" s="200">
        <v>562400</v>
      </c>
      <c r="DC203" s="200">
        <v>719872</v>
      </c>
      <c r="DD203" s="200">
        <v>801982</v>
      </c>
    </row>
    <row r="204" spans="1:108" ht="13" customHeight="1">
      <c r="D204" s="1414" t="s">
        <v>997</v>
      </c>
      <c r="E204" s="1414"/>
      <c r="F204" s="1414"/>
      <c r="G204" s="1414"/>
      <c r="H204" s="1414"/>
      <c r="I204" s="1414"/>
      <c r="J204" s="1414"/>
      <c r="K204" s="1414"/>
      <c r="L204" s="1414"/>
      <c r="M204" s="1414"/>
      <c r="P204" s="1499">
        <f>M26</f>
        <v>1445633</v>
      </c>
      <c r="Q204" s="1500"/>
      <c r="R204" s="1500"/>
      <c r="S204" s="1500"/>
      <c r="T204" s="1500"/>
      <c r="U204" s="1500"/>
      <c r="BC204" t="s">
        <v>998</v>
      </c>
      <c r="BN204" s="111" t="s">
        <v>999</v>
      </c>
      <c r="BS204">
        <v>6</v>
      </c>
      <c r="BT204" s="25" t="s">
        <v>1000</v>
      </c>
      <c r="BU204" s="11"/>
      <c r="CB204" s="224" t="s">
        <v>988</v>
      </c>
      <c r="CC204" s="320">
        <v>1560</v>
      </c>
      <c r="CD204" s="321">
        <v>1670</v>
      </c>
      <c r="CE204" s="320">
        <v>2004</v>
      </c>
      <c r="CF204" s="321">
        <v>2316</v>
      </c>
      <c r="CG204" s="321">
        <v>2584</v>
      </c>
      <c r="CH204" s="322">
        <v>2852</v>
      </c>
      <c r="CI204" s="2"/>
      <c r="CJ204" s="683">
        <v>1014</v>
      </c>
      <c r="CK204" s="683">
        <v>1132</v>
      </c>
      <c r="CL204" s="683">
        <v>1487</v>
      </c>
      <c r="CM204" s="683">
        <v>2095</v>
      </c>
      <c r="CN204" s="683">
        <v>2523</v>
      </c>
      <c r="CR204" s="111" t="s">
        <v>987</v>
      </c>
      <c r="CS204" s="202">
        <v>319236</v>
      </c>
      <c r="CT204" s="202">
        <v>368076</v>
      </c>
      <c r="CU204" s="202">
        <v>444000</v>
      </c>
      <c r="CV204" s="202">
        <v>568320</v>
      </c>
      <c r="CW204" s="202">
        <v>633144</v>
      </c>
      <c r="CX204" s="11"/>
      <c r="CY204" s="111" t="s">
        <v>987</v>
      </c>
      <c r="CZ204" s="202">
        <v>319236</v>
      </c>
      <c r="DA204" s="202">
        <v>368076</v>
      </c>
      <c r="DB204" s="202">
        <v>444000</v>
      </c>
      <c r="DC204" s="202">
        <v>568320</v>
      </c>
      <c r="DD204" s="202">
        <v>633144</v>
      </c>
    </row>
    <row r="205" spans="1:108" ht="13" customHeight="1">
      <c r="C205" s="16"/>
      <c r="D205" s="1488" t="s">
        <v>1001</v>
      </c>
      <c r="E205" s="1414"/>
      <c r="F205" s="1414"/>
      <c r="G205" s="1414"/>
      <c r="H205" s="1414"/>
      <c r="I205" s="1414"/>
      <c r="J205" s="1414"/>
      <c r="K205" s="1414"/>
      <c r="L205" s="1414"/>
      <c r="M205" s="1414"/>
      <c r="P205" s="1500">
        <f>M27</f>
        <v>0</v>
      </c>
      <c r="Q205" s="1500"/>
      <c r="R205" s="1500"/>
      <c r="S205" s="1500"/>
      <c r="T205" s="1500"/>
      <c r="U205" s="1500"/>
      <c r="V205" s="17"/>
      <c r="W205" s="2" t="s">
        <v>1002</v>
      </c>
      <c r="Z205" s="1485" t="s">
        <v>1003</v>
      </c>
      <c r="AA205" s="1485"/>
      <c r="AB205" s="1485"/>
      <c r="AC205" s="1485"/>
      <c r="AD205" s="1485"/>
      <c r="AE205" s="1485"/>
      <c r="AF205" s="1485"/>
      <c r="AG205" s="1485"/>
      <c r="AH205" s="1485"/>
      <c r="AI205" s="1485"/>
      <c r="AJ205" s="1485"/>
      <c r="AK205" s="1485"/>
      <c r="AL205" s="1485"/>
      <c r="AM205" s="1485"/>
      <c r="AN205" s="1485"/>
      <c r="AP205" s="1395"/>
      <c r="AQ205" s="1395"/>
      <c r="BC205" t="s">
        <v>1004</v>
      </c>
      <c r="BN205" s="111" t="s">
        <v>1005</v>
      </c>
      <c r="BS205">
        <v>4</v>
      </c>
      <c r="BT205" s="25" t="s">
        <v>1006</v>
      </c>
      <c r="BU205" s="11"/>
      <c r="CB205" s="224" t="s">
        <v>991</v>
      </c>
      <c r="CC205" s="320">
        <v>1540</v>
      </c>
      <c r="CD205" s="321">
        <v>1650</v>
      </c>
      <c r="CE205" s="320">
        <v>1980</v>
      </c>
      <c r="CF205" s="321">
        <v>2286</v>
      </c>
      <c r="CG205" s="321">
        <v>2550</v>
      </c>
      <c r="CH205" s="322">
        <v>2812</v>
      </c>
      <c r="CI205" s="2"/>
      <c r="CJ205" s="683">
        <v>911</v>
      </c>
      <c r="CK205" s="683">
        <v>1005</v>
      </c>
      <c r="CL205" s="683">
        <v>1321</v>
      </c>
      <c r="CM205" s="683">
        <v>1862</v>
      </c>
      <c r="CN205" s="683">
        <v>2168</v>
      </c>
      <c r="CR205" s="111" t="s">
        <v>990</v>
      </c>
      <c r="CS205" s="200">
        <v>352022</v>
      </c>
      <c r="CT205" s="200">
        <v>405878</v>
      </c>
      <c r="CU205" s="200">
        <v>489600</v>
      </c>
      <c r="CV205" s="200">
        <v>626688</v>
      </c>
      <c r="CW205" s="200">
        <v>698170</v>
      </c>
      <c r="CX205" s="11"/>
      <c r="CY205" s="111" t="s">
        <v>990</v>
      </c>
      <c r="CZ205" s="200">
        <v>352022</v>
      </c>
      <c r="DA205" s="200">
        <v>405878</v>
      </c>
      <c r="DB205" s="200">
        <v>489600</v>
      </c>
      <c r="DC205" s="200">
        <v>626688</v>
      </c>
      <c r="DD205" s="200">
        <v>698170</v>
      </c>
    </row>
    <row r="206" spans="1:108" ht="13" customHeight="1">
      <c r="D206" s="22"/>
      <c r="E206" s="22"/>
      <c r="F206" s="22"/>
      <c r="G206" s="22"/>
      <c r="H206" s="22"/>
      <c r="I206" s="22"/>
      <c r="J206" s="22"/>
      <c r="K206" s="22"/>
      <c r="L206" s="22"/>
      <c r="M206" s="22"/>
      <c r="N206" s="22"/>
      <c r="O206" s="22"/>
      <c r="P206" s="22"/>
      <c r="BC206" t="s">
        <v>1007</v>
      </c>
      <c r="BN206" s="111" t="s">
        <v>1008</v>
      </c>
      <c r="BS206">
        <v>5</v>
      </c>
      <c r="BT206" s="25" t="s">
        <v>1009</v>
      </c>
      <c r="BU206" s="11"/>
      <c r="CB206" s="224" t="s">
        <v>996</v>
      </c>
      <c r="CC206" s="320">
        <v>1540</v>
      </c>
      <c r="CD206" s="321">
        <v>1650</v>
      </c>
      <c r="CE206" s="320">
        <v>1980</v>
      </c>
      <c r="CF206" s="321">
        <v>2286</v>
      </c>
      <c r="CG206" s="321">
        <v>2550</v>
      </c>
      <c r="CH206" s="322">
        <v>2812</v>
      </c>
      <c r="CI206" s="2"/>
      <c r="CJ206" s="683">
        <v>838</v>
      </c>
      <c r="CK206" s="683">
        <v>843</v>
      </c>
      <c r="CL206" s="683">
        <v>1089</v>
      </c>
      <c r="CM206" s="683">
        <v>1535</v>
      </c>
      <c r="CN206" s="683">
        <v>1620</v>
      </c>
      <c r="CR206" s="111" t="s">
        <v>995</v>
      </c>
      <c r="CS206" s="202">
        <v>352022</v>
      </c>
      <c r="CT206" s="202">
        <v>405878</v>
      </c>
      <c r="CU206" s="202">
        <v>489600</v>
      </c>
      <c r="CV206" s="202">
        <v>626688</v>
      </c>
      <c r="CW206" s="202">
        <v>698170</v>
      </c>
      <c r="CX206" s="11"/>
      <c r="CY206" s="111" t="s">
        <v>995</v>
      </c>
      <c r="CZ206" s="202">
        <v>352022</v>
      </c>
      <c r="DA206" s="202">
        <v>405878</v>
      </c>
      <c r="DB206" s="202">
        <v>489600</v>
      </c>
      <c r="DC206" s="202">
        <v>626688</v>
      </c>
      <c r="DD206" s="202">
        <v>698170</v>
      </c>
    </row>
    <row r="207" spans="1:108" ht="13" customHeight="1">
      <c r="A207" s="1" t="s">
        <v>1010</v>
      </c>
      <c r="C207" s="1" t="s">
        <v>1011</v>
      </c>
      <c r="BC207" s="305" t="s">
        <v>1012</v>
      </c>
      <c r="BN207" s="111" t="s">
        <v>1013</v>
      </c>
      <c r="BS207">
        <v>6</v>
      </c>
      <c r="BT207" s="25" t="s">
        <v>1014</v>
      </c>
      <c r="CB207" s="224" t="s">
        <v>1000</v>
      </c>
      <c r="CC207" s="320">
        <v>2202</v>
      </c>
      <c r="CD207" s="321">
        <v>2360</v>
      </c>
      <c r="CE207" s="320">
        <v>2832</v>
      </c>
      <c r="CF207" s="321">
        <v>3270</v>
      </c>
      <c r="CG207" s="321">
        <v>3650</v>
      </c>
      <c r="CH207" s="322">
        <v>4026</v>
      </c>
      <c r="CI207" s="2"/>
      <c r="CJ207" s="683">
        <v>1652</v>
      </c>
      <c r="CK207" s="683">
        <v>1853</v>
      </c>
      <c r="CL207" s="683">
        <v>2308</v>
      </c>
      <c r="CM207" s="683">
        <v>3199</v>
      </c>
      <c r="CN207" s="683">
        <v>3643</v>
      </c>
      <c r="CR207" s="111" t="s">
        <v>999</v>
      </c>
      <c r="CS207" s="200">
        <v>384234</v>
      </c>
      <c r="CT207" s="200">
        <v>443018</v>
      </c>
      <c r="CU207" s="200">
        <v>534400</v>
      </c>
      <c r="CV207" s="200">
        <v>684032</v>
      </c>
      <c r="CW207" s="200">
        <v>762054</v>
      </c>
      <c r="CX207" s="11"/>
      <c r="CY207" s="111" t="s">
        <v>999</v>
      </c>
      <c r="CZ207" s="200">
        <v>384234</v>
      </c>
      <c r="DA207" s="200">
        <v>443018</v>
      </c>
      <c r="DB207" s="200">
        <v>534400</v>
      </c>
      <c r="DC207" s="200">
        <v>684032</v>
      </c>
      <c r="DD207" s="200">
        <v>762054</v>
      </c>
    </row>
    <row r="208" spans="1:108" ht="13" customHeight="1">
      <c r="C208" s="16"/>
      <c r="D208" s="1471" t="s">
        <v>1015</v>
      </c>
      <c r="E208" s="1471"/>
      <c r="F208" s="1471"/>
      <c r="G208" s="1471"/>
      <c r="H208" s="1471"/>
      <c r="I208" s="1471"/>
      <c r="J208" s="1471"/>
      <c r="K208" s="1471"/>
      <c r="L208" s="1471"/>
      <c r="M208" s="1471"/>
      <c r="BC208" s="2" t="s">
        <v>1016</v>
      </c>
      <c r="BN208" s="111" t="s">
        <v>1017</v>
      </c>
      <c r="BS208">
        <v>7</v>
      </c>
      <c r="BT208" s="25" t="s">
        <v>1018</v>
      </c>
      <c r="CB208" s="224" t="s">
        <v>1006</v>
      </c>
      <c r="CC208" s="320">
        <v>2422</v>
      </c>
      <c r="CD208" s="321">
        <v>2594</v>
      </c>
      <c r="CE208" s="320">
        <v>3112</v>
      </c>
      <c r="CF208" s="321">
        <v>3596</v>
      </c>
      <c r="CG208" s="321">
        <v>4012</v>
      </c>
      <c r="CH208" s="322">
        <v>4426</v>
      </c>
      <c r="CI208" s="2"/>
      <c r="CJ208" s="683">
        <v>1611</v>
      </c>
      <c r="CK208" s="683">
        <v>1809</v>
      </c>
      <c r="CL208" s="683">
        <v>2377</v>
      </c>
      <c r="CM208" s="683">
        <v>3228</v>
      </c>
      <c r="CN208" s="683">
        <v>3425</v>
      </c>
      <c r="CR208" s="111" t="s">
        <v>1005</v>
      </c>
      <c r="CS208" s="202">
        <v>384234</v>
      </c>
      <c r="CT208" s="202">
        <v>443018</v>
      </c>
      <c r="CU208" s="202">
        <v>534400</v>
      </c>
      <c r="CV208" s="202">
        <v>684032</v>
      </c>
      <c r="CW208" s="202">
        <v>762054</v>
      </c>
      <c r="CX208" s="11"/>
      <c r="CY208" s="111" t="s">
        <v>1005</v>
      </c>
      <c r="CZ208" s="202">
        <v>384234</v>
      </c>
      <c r="DA208" s="202">
        <v>443018</v>
      </c>
      <c r="DB208" s="202">
        <v>534400</v>
      </c>
      <c r="DC208" s="202">
        <v>684032</v>
      </c>
      <c r="DD208" s="202">
        <v>762054</v>
      </c>
    </row>
    <row r="209" spans="1:108" ht="13" customHeight="1">
      <c r="BC209" t="s">
        <v>1019</v>
      </c>
      <c r="BN209" s="111" t="s">
        <v>1020</v>
      </c>
      <c r="BS209">
        <v>7</v>
      </c>
      <c r="BT209" s="25" t="s">
        <v>1021</v>
      </c>
      <c r="CB209" s="224" t="s">
        <v>1009</v>
      </c>
      <c r="CC209" s="320">
        <v>1594</v>
      </c>
      <c r="CD209" s="321">
        <v>1708</v>
      </c>
      <c r="CE209" s="320">
        <v>2050</v>
      </c>
      <c r="CF209" s="321">
        <v>2368</v>
      </c>
      <c r="CG209" s="321">
        <v>2642</v>
      </c>
      <c r="CH209" s="322">
        <v>2916</v>
      </c>
      <c r="CI209" s="2"/>
      <c r="CJ209" s="683">
        <v>1143</v>
      </c>
      <c r="CK209" s="683">
        <v>1188</v>
      </c>
      <c r="CL209" s="683">
        <v>1528</v>
      </c>
      <c r="CM209" s="683">
        <v>2153</v>
      </c>
      <c r="CN209" s="683">
        <v>2536</v>
      </c>
      <c r="CR209" s="111" t="s">
        <v>1008</v>
      </c>
      <c r="CS209" s="200">
        <v>307732</v>
      </c>
      <c r="CT209" s="200">
        <v>354812</v>
      </c>
      <c r="CU209" s="200">
        <v>428000</v>
      </c>
      <c r="CV209" s="200">
        <v>547840</v>
      </c>
      <c r="CW209" s="200">
        <v>610328</v>
      </c>
      <c r="CX209" s="11"/>
      <c r="CY209" s="111" t="s">
        <v>1008</v>
      </c>
      <c r="CZ209" s="200">
        <v>307732</v>
      </c>
      <c r="DA209" s="200">
        <v>354812</v>
      </c>
      <c r="DB209" s="200">
        <v>428000</v>
      </c>
      <c r="DC209" s="200">
        <v>547840</v>
      </c>
      <c r="DD209" s="200">
        <v>610328</v>
      </c>
    </row>
    <row r="210" spans="1:108" ht="13" customHeight="1">
      <c r="A210" s="1" t="s">
        <v>1022</v>
      </c>
      <c r="C210" s="1" t="s">
        <v>1023</v>
      </c>
      <c r="BC210" t="s">
        <v>1024</v>
      </c>
      <c r="BN210" s="111" t="s">
        <v>1025</v>
      </c>
      <c r="BS210">
        <v>5</v>
      </c>
      <c r="BT210" s="25" t="s">
        <v>934</v>
      </c>
      <c r="CB210" s="224" t="s">
        <v>1014</v>
      </c>
      <c r="CC210" s="320">
        <v>1540</v>
      </c>
      <c r="CD210" s="321">
        <v>1650</v>
      </c>
      <c r="CE210" s="320">
        <v>1980</v>
      </c>
      <c r="CF210" s="321">
        <v>2286</v>
      </c>
      <c r="CG210" s="321">
        <v>2550</v>
      </c>
      <c r="CH210" s="322">
        <v>2812</v>
      </c>
      <c r="CI210" s="2"/>
      <c r="CJ210" s="683">
        <v>1125</v>
      </c>
      <c r="CK210" s="683">
        <v>1132</v>
      </c>
      <c r="CL210" s="683">
        <v>1461</v>
      </c>
      <c r="CM210" s="683">
        <v>2059</v>
      </c>
      <c r="CN210" s="683">
        <v>2479</v>
      </c>
      <c r="CR210" s="111" t="s">
        <v>1013</v>
      </c>
      <c r="CS210" s="202">
        <v>331890</v>
      </c>
      <c r="CT210" s="202">
        <v>382666</v>
      </c>
      <c r="CU210" s="202">
        <v>461600</v>
      </c>
      <c r="CV210" s="202">
        <v>590848</v>
      </c>
      <c r="CW210" s="202">
        <v>658242</v>
      </c>
      <c r="CX210" s="11"/>
      <c r="CY210" s="111" t="s">
        <v>1013</v>
      </c>
      <c r="CZ210" s="202">
        <v>331890</v>
      </c>
      <c r="DA210" s="202">
        <v>382666</v>
      </c>
      <c r="DB210" s="202">
        <v>461600</v>
      </c>
      <c r="DC210" s="202">
        <v>590848</v>
      </c>
      <c r="DD210" s="202">
        <v>658242</v>
      </c>
    </row>
    <row r="211" spans="1:108" ht="13" customHeight="1">
      <c r="C211" s="16"/>
      <c r="D211" s="1471" t="s">
        <v>944</v>
      </c>
      <c r="E211" s="1471"/>
      <c r="F211" s="1471"/>
      <c r="G211" s="1471"/>
      <c r="H211" s="1471"/>
      <c r="I211" s="1471"/>
      <c r="J211" s="1471"/>
      <c r="K211" s="1471"/>
      <c r="L211" s="1471"/>
      <c r="M211" s="1471"/>
      <c r="BN211" s="111" t="s">
        <v>1026</v>
      </c>
      <c r="BS211">
        <v>7</v>
      </c>
      <c r="BT211" s="25" t="s">
        <v>1027</v>
      </c>
      <c r="CB211" s="224" t="s">
        <v>1018</v>
      </c>
      <c r="CC211" s="320">
        <v>1540</v>
      </c>
      <c r="CD211" s="321">
        <v>1650</v>
      </c>
      <c r="CE211" s="320">
        <v>1980</v>
      </c>
      <c r="CF211" s="321">
        <v>2286</v>
      </c>
      <c r="CG211" s="321">
        <v>2550</v>
      </c>
      <c r="CH211" s="322">
        <v>2812</v>
      </c>
      <c r="CI211" s="2"/>
      <c r="CJ211" s="683">
        <v>844</v>
      </c>
      <c r="CK211" s="683">
        <v>948</v>
      </c>
      <c r="CL211" s="683">
        <v>1245</v>
      </c>
      <c r="CM211" s="683">
        <v>1695</v>
      </c>
      <c r="CN211" s="683">
        <v>2010</v>
      </c>
      <c r="CR211" s="111" t="s">
        <v>1017</v>
      </c>
      <c r="CS211" s="200">
        <v>352022</v>
      </c>
      <c r="CT211" s="200">
        <v>405878</v>
      </c>
      <c r="CU211" s="200">
        <v>489600</v>
      </c>
      <c r="CV211" s="200">
        <v>626688</v>
      </c>
      <c r="CW211" s="200">
        <v>698170</v>
      </c>
      <c r="CX211" s="11"/>
      <c r="CY211" s="111" t="s">
        <v>1017</v>
      </c>
      <c r="CZ211" s="200">
        <v>352022</v>
      </c>
      <c r="DA211" s="200">
        <v>405878</v>
      </c>
      <c r="DB211" s="200">
        <v>489600</v>
      </c>
      <c r="DC211" s="200">
        <v>626688</v>
      </c>
      <c r="DD211" s="200">
        <v>698170</v>
      </c>
    </row>
    <row r="212" spans="1:108" ht="13" customHeight="1">
      <c r="C212" s="16"/>
      <c r="D212" s="2" t="s">
        <v>1028</v>
      </c>
      <c r="Q212" s="1353">
        <v>24</v>
      </c>
      <c r="R212" s="1353"/>
      <c r="T212" s="1511">
        <f>IFERROR(Q212/AG440,0)</f>
        <v>0.30379746835443039</v>
      </c>
      <c r="U212" s="1512"/>
      <c r="BC212" t="s">
        <v>478</v>
      </c>
      <c r="BI212" t="s">
        <v>1003</v>
      </c>
      <c r="BN212" s="111" t="s">
        <v>1029</v>
      </c>
      <c r="BS212">
        <v>4</v>
      </c>
      <c r="BT212" s="25" t="s">
        <v>1030</v>
      </c>
      <c r="CB212" s="224" t="s">
        <v>1021</v>
      </c>
      <c r="CC212" s="320">
        <v>1540</v>
      </c>
      <c r="CD212" s="321">
        <v>1650</v>
      </c>
      <c r="CE212" s="320">
        <v>1980</v>
      </c>
      <c r="CF212" s="321">
        <v>2286</v>
      </c>
      <c r="CG212" s="321">
        <v>2550</v>
      </c>
      <c r="CH212" s="322">
        <v>2812</v>
      </c>
      <c r="CI212" s="2"/>
      <c r="CJ212" s="683">
        <v>710</v>
      </c>
      <c r="CK212" s="683">
        <v>784</v>
      </c>
      <c r="CL212" s="683">
        <v>1030</v>
      </c>
      <c r="CM212" s="683">
        <v>1451</v>
      </c>
      <c r="CN212" s="683">
        <v>1657</v>
      </c>
      <c r="CR212" s="111" t="s">
        <v>1020</v>
      </c>
      <c r="CS212" s="202">
        <v>352022</v>
      </c>
      <c r="CT212" s="202">
        <v>405878</v>
      </c>
      <c r="CU212" s="202">
        <v>489600</v>
      </c>
      <c r="CV212" s="202">
        <v>626688</v>
      </c>
      <c r="CW212" s="202">
        <v>698170</v>
      </c>
      <c r="CX212" s="11"/>
      <c r="CY212" s="111" t="s">
        <v>1020</v>
      </c>
      <c r="CZ212" s="202">
        <v>352022</v>
      </c>
      <c r="DA212" s="202">
        <v>405878</v>
      </c>
      <c r="DB212" s="202">
        <v>489600</v>
      </c>
      <c r="DC212" s="202">
        <v>626688</v>
      </c>
      <c r="DD212" s="202">
        <v>698170</v>
      </c>
    </row>
    <row r="213" spans="1:108" ht="13" customHeight="1">
      <c r="D213" s="925" t="s">
        <v>1031</v>
      </c>
      <c r="BC213" t="s">
        <v>1032</v>
      </c>
      <c r="BI213" s="2" t="s">
        <v>1033</v>
      </c>
      <c r="BN213" s="111" t="s">
        <v>1034</v>
      </c>
      <c r="BS213">
        <v>6</v>
      </c>
      <c r="BT213" s="25" t="s">
        <v>1035</v>
      </c>
      <c r="CB213" s="224" t="s">
        <v>934</v>
      </c>
      <c r="CC213" s="320">
        <v>1540</v>
      </c>
      <c r="CD213" s="321">
        <v>1650</v>
      </c>
      <c r="CE213" s="320">
        <v>1980</v>
      </c>
      <c r="CF213" s="321">
        <v>2286</v>
      </c>
      <c r="CG213" s="321">
        <v>2550</v>
      </c>
      <c r="CH213" s="322">
        <v>2812</v>
      </c>
      <c r="CI213" s="2"/>
      <c r="CJ213" s="683">
        <v>977</v>
      </c>
      <c r="CK213" s="683">
        <v>989</v>
      </c>
      <c r="CL213" s="683">
        <v>1299</v>
      </c>
      <c r="CM213" s="683">
        <v>1809</v>
      </c>
      <c r="CN213" s="683">
        <v>2065</v>
      </c>
      <c r="CR213" s="111" t="s">
        <v>1025</v>
      </c>
      <c r="CS213" s="200">
        <v>307732</v>
      </c>
      <c r="CT213" s="200">
        <v>354812</v>
      </c>
      <c r="CU213" s="200">
        <v>428000</v>
      </c>
      <c r="CV213" s="200">
        <v>547840</v>
      </c>
      <c r="CW213" s="200">
        <v>610328</v>
      </c>
      <c r="CX213" s="11"/>
      <c r="CY213" s="111" t="s">
        <v>1025</v>
      </c>
      <c r="CZ213" s="200">
        <v>307732</v>
      </c>
      <c r="DA213" s="200">
        <v>354812</v>
      </c>
      <c r="DB213" s="200">
        <v>428000</v>
      </c>
      <c r="DC213" s="200">
        <v>547840</v>
      </c>
      <c r="DD213" s="200">
        <v>610328</v>
      </c>
    </row>
    <row r="214" spans="1:108" ht="13" customHeight="1">
      <c r="D214" s="1495" t="s">
        <v>800</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6"/>
      <c r="AV214" s="16"/>
      <c r="AW214" s="16"/>
      <c r="AX214" s="16"/>
      <c r="AY214" s="16"/>
      <c r="BC214" t="s">
        <v>1036</v>
      </c>
      <c r="BI214" s="2" t="s">
        <v>1037</v>
      </c>
      <c r="BN214" s="111" t="s">
        <v>1038</v>
      </c>
      <c r="BS214">
        <v>6</v>
      </c>
      <c r="BT214" s="25" t="s">
        <v>1039</v>
      </c>
      <c r="CB214" s="224" t="s">
        <v>1027</v>
      </c>
      <c r="CC214" s="320">
        <v>1694</v>
      </c>
      <c r="CD214" s="321">
        <v>1816</v>
      </c>
      <c r="CE214" s="320">
        <v>2180</v>
      </c>
      <c r="CF214" s="321">
        <v>2520</v>
      </c>
      <c r="CG214" s="321">
        <v>2810</v>
      </c>
      <c r="CH214" s="322">
        <v>3100</v>
      </c>
      <c r="CI214" s="2"/>
      <c r="CJ214" s="683">
        <v>919</v>
      </c>
      <c r="CK214" s="683">
        <v>1032</v>
      </c>
      <c r="CL214" s="683">
        <v>1356</v>
      </c>
      <c r="CM214" s="683">
        <v>1795</v>
      </c>
      <c r="CN214" s="683">
        <v>2301</v>
      </c>
      <c r="CR214" s="111" t="s">
        <v>1026</v>
      </c>
      <c r="CS214" s="202">
        <v>352022</v>
      </c>
      <c r="CT214" s="202">
        <v>405878</v>
      </c>
      <c r="CU214" s="202">
        <v>489600</v>
      </c>
      <c r="CV214" s="202">
        <v>626688</v>
      </c>
      <c r="CW214" s="202">
        <v>698170</v>
      </c>
      <c r="CX214" s="11"/>
      <c r="CY214" s="111" t="s">
        <v>1026</v>
      </c>
      <c r="CZ214" s="202">
        <v>352022</v>
      </c>
      <c r="DA214" s="202">
        <v>405878</v>
      </c>
      <c r="DB214" s="202">
        <v>489600</v>
      </c>
      <c r="DC214" s="202">
        <v>626688</v>
      </c>
      <c r="DD214" s="202">
        <v>698170</v>
      </c>
    </row>
    <row r="215" spans="1:108" ht="13" customHeight="1">
      <c r="D215" s="2" t="s">
        <v>1040</v>
      </c>
      <c r="Z215" s="1104"/>
      <c r="AB215" s="1468">
        <v>62</v>
      </c>
      <c r="AC215" s="1468"/>
      <c r="AD215" s="1468"/>
      <c r="AE215" s="1468"/>
      <c r="AF215" s="1468"/>
      <c r="AG215" s="1468"/>
      <c r="AH215" s="1468"/>
      <c r="AI215" s="1468"/>
      <c r="AJ215" s="1468"/>
      <c r="AK215" s="1468"/>
      <c r="AL215" s="1468"/>
      <c r="AM215" s="16"/>
      <c r="AN215" s="16"/>
      <c r="AO215" s="16"/>
      <c r="AP215" s="16"/>
      <c r="AQ215" s="16"/>
      <c r="AR215" s="16"/>
      <c r="AS215" s="16"/>
      <c r="AT215" s="16"/>
      <c r="AU215" s="16"/>
      <c r="AV215" s="16"/>
      <c r="AW215" s="16"/>
      <c r="AX215" s="16"/>
      <c r="AY215" s="16"/>
      <c r="BC215" t="s">
        <v>1041</v>
      </c>
      <c r="BI215" s="2" t="s">
        <v>1042</v>
      </c>
      <c r="CB215" s="224" t="s">
        <v>1030</v>
      </c>
      <c r="CC215" s="323">
        <v>2462</v>
      </c>
      <c r="CD215" s="324">
        <v>2638</v>
      </c>
      <c r="CE215" s="323">
        <v>3166</v>
      </c>
      <c r="CF215" s="324">
        <v>3658</v>
      </c>
      <c r="CG215" s="324">
        <v>4082</v>
      </c>
      <c r="CH215" s="325">
        <v>4502</v>
      </c>
      <c r="CI215" s="2"/>
      <c r="CJ215" s="683">
        <v>1725</v>
      </c>
      <c r="CK215" s="683">
        <v>2011</v>
      </c>
      <c r="CL215" s="683">
        <v>2414</v>
      </c>
      <c r="CM215" s="683">
        <v>3310</v>
      </c>
      <c r="CN215" s="683">
        <v>3867</v>
      </c>
      <c r="CR215" s="111" t="s">
        <v>1029</v>
      </c>
      <c r="CS215" s="200">
        <v>404366</v>
      </c>
      <c r="CT215" s="200">
        <v>466230</v>
      </c>
      <c r="CU215" s="200">
        <v>562400</v>
      </c>
      <c r="CV215" s="200">
        <v>719872</v>
      </c>
      <c r="CW215" s="200">
        <v>801982</v>
      </c>
      <c r="CX215" s="11"/>
      <c r="CY215" s="111" t="s">
        <v>1029</v>
      </c>
      <c r="CZ215" s="200">
        <v>404366</v>
      </c>
      <c r="DA215" s="200">
        <v>466230</v>
      </c>
      <c r="DB215" s="200">
        <v>562400</v>
      </c>
      <c r="DC215" s="200">
        <v>719872</v>
      </c>
      <c r="DD215" s="200">
        <v>801982</v>
      </c>
    </row>
    <row r="216" spans="1:108" ht="13" customHeight="1">
      <c r="D216" s="2" t="s">
        <v>1043</v>
      </c>
      <c r="Z216" s="1104"/>
      <c r="AB216" s="1468"/>
      <c r="AC216" s="1468"/>
      <c r="AD216" s="1468"/>
      <c r="AE216" s="1468"/>
      <c r="AF216" s="1468"/>
      <c r="AG216" s="1468"/>
      <c r="AH216" s="1468"/>
      <c r="AI216" s="1468"/>
      <c r="AJ216" s="1468"/>
      <c r="AK216" s="1468"/>
      <c r="AL216" s="1468"/>
      <c r="AM216" s="16"/>
      <c r="AN216" s="16"/>
      <c r="AO216" s="16"/>
      <c r="AP216" s="16"/>
      <c r="AQ216" s="16"/>
      <c r="AR216" s="16"/>
      <c r="AS216" s="16"/>
      <c r="AT216" s="16"/>
      <c r="AU216" s="16"/>
      <c r="AV216" s="16"/>
      <c r="AW216" s="16"/>
      <c r="AX216" s="16"/>
      <c r="AY216" s="16"/>
      <c r="BC216" t="s">
        <v>1044</v>
      </c>
      <c r="BI216" t="s">
        <v>1045</v>
      </c>
      <c r="CB216" s="224" t="s">
        <v>1035</v>
      </c>
      <c r="CC216" s="326">
        <v>2020</v>
      </c>
      <c r="CD216" s="327">
        <v>2162</v>
      </c>
      <c r="CE216" s="326">
        <v>2594</v>
      </c>
      <c r="CF216" s="327">
        <v>2998</v>
      </c>
      <c r="CG216" s="327">
        <v>3344</v>
      </c>
      <c r="CH216" s="328">
        <v>3690</v>
      </c>
      <c r="CI216" s="2"/>
      <c r="CJ216" s="683">
        <v>1497</v>
      </c>
      <c r="CK216" s="683">
        <v>1507</v>
      </c>
      <c r="CL216" s="683">
        <v>1980</v>
      </c>
      <c r="CM216" s="683">
        <v>2717</v>
      </c>
      <c r="CN216" s="683">
        <v>3169</v>
      </c>
      <c r="CR216" s="111" t="s">
        <v>1034</v>
      </c>
      <c r="CS216" s="202">
        <v>331890</v>
      </c>
      <c r="CT216" s="202">
        <v>382666</v>
      </c>
      <c r="CU216" s="202">
        <v>461600</v>
      </c>
      <c r="CV216" s="202">
        <v>590848</v>
      </c>
      <c r="CW216" s="202">
        <v>658242</v>
      </c>
      <c r="CX216" s="11"/>
      <c r="CY216" s="111" t="s">
        <v>1034</v>
      </c>
      <c r="CZ216" s="202">
        <v>331890</v>
      </c>
      <c r="DA216" s="202">
        <v>382666</v>
      </c>
      <c r="DB216" s="202">
        <v>461600</v>
      </c>
      <c r="DC216" s="202">
        <v>590848</v>
      </c>
      <c r="DD216" s="202">
        <v>658242</v>
      </c>
    </row>
    <row r="217" spans="1:108" ht="13" customHeight="1" thickBot="1">
      <c r="D217" s="2"/>
      <c r="Z217" s="1104"/>
      <c r="AB217" s="16"/>
      <c r="AC217" s="16"/>
      <c r="AD217" s="16"/>
      <c r="AE217" s="16"/>
      <c r="AF217" s="16"/>
      <c r="AG217" s="16"/>
      <c r="AH217" s="16"/>
      <c r="AI217" s="16"/>
      <c r="AJ217" s="16"/>
      <c r="AK217" s="16"/>
      <c r="AL217" s="16"/>
      <c r="AM217" s="16"/>
      <c r="AN217" s="16"/>
      <c r="AO217" s="16"/>
      <c r="AP217" s="16"/>
      <c r="AQ217" s="16"/>
      <c r="AR217" s="16"/>
      <c r="AS217" s="16"/>
      <c r="AT217" s="16"/>
      <c r="BC217" t="s">
        <v>1046</v>
      </c>
      <c r="BI217" t="s">
        <v>1047</v>
      </c>
      <c r="CB217" s="224" t="s">
        <v>1039</v>
      </c>
      <c r="CC217" s="329">
        <v>1540</v>
      </c>
      <c r="CD217" s="330">
        <v>1650</v>
      </c>
      <c r="CE217" s="329">
        <v>1980</v>
      </c>
      <c r="CF217" s="330">
        <v>2286</v>
      </c>
      <c r="CG217" s="330">
        <v>2550</v>
      </c>
      <c r="CH217" s="331">
        <v>2812</v>
      </c>
      <c r="CI217" s="2"/>
      <c r="CJ217" s="683">
        <v>1125</v>
      </c>
      <c r="CK217" s="683">
        <v>1132</v>
      </c>
      <c r="CL217" s="683">
        <v>1461</v>
      </c>
      <c r="CM217" s="683">
        <v>2059</v>
      </c>
      <c r="CN217" s="683">
        <v>2479</v>
      </c>
      <c r="CR217" s="111" t="s">
        <v>1038</v>
      </c>
      <c r="CS217" s="200">
        <v>331890</v>
      </c>
      <c r="CT217" s="200">
        <v>382666</v>
      </c>
      <c r="CU217" s="200">
        <v>461600</v>
      </c>
      <c r="CV217" s="200">
        <v>590848</v>
      </c>
      <c r="CW217" s="200">
        <v>658242</v>
      </c>
      <c r="CX217" s="11"/>
      <c r="CY217" s="111" t="s">
        <v>1038</v>
      </c>
      <c r="CZ217" s="200">
        <v>331890</v>
      </c>
      <c r="DA217" s="200">
        <v>382666</v>
      </c>
      <c r="DB217" s="200">
        <v>461600</v>
      </c>
      <c r="DC217" s="200">
        <v>590848</v>
      </c>
      <c r="DD217" s="200">
        <v>658242</v>
      </c>
    </row>
    <row r="218" spans="1:108" ht="13" customHeight="1">
      <c r="A218" s="1" t="s">
        <v>1048</v>
      </c>
      <c r="C218" s="1" t="s">
        <v>1049</v>
      </c>
      <c r="D218" s="17"/>
      <c r="AC218" s="1" t="s">
        <v>1050</v>
      </c>
      <c r="BC218" t="s">
        <v>1051</v>
      </c>
    </row>
    <row r="219" spans="1:108" ht="13" customHeight="1">
      <c r="A219" s="1"/>
      <c r="C219" s="1"/>
      <c r="D219" s="2" t="s">
        <v>1052</v>
      </c>
      <c r="AZ219" s="2"/>
      <c r="BA219" s="2"/>
      <c r="BC219" t="s">
        <v>1053</v>
      </c>
    </row>
    <row r="220" spans="1:108" ht="13" customHeight="1">
      <c r="A220" s="1"/>
      <c r="C220" s="1"/>
      <c r="D220" s="1471" t="s">
        <v>986</v>
      </c>
      <c r="E220" s="1471"/>
      <c r="F220" s="1471"/>
      <c r="G220" s="1471"/>
      <c r="H220" s="1471"/>
      <c r="I220" s="1471"/>
      <c r="J220" s="1471"/>
      <c r="K220" s="1471"/>
      <c r="L220" s="1471"/>
      <c r="M220" s="1471"/>
      <c r="N220" s="1471"/>
      <c r="O220" s="1471"/>
      <c r="P220" s="1471"/>
      <c r="Q220" s="1471"/>
      <c r="R220" s="1471"/>
      <c r="S220" s="1471"/>
      <c r="T220" s="1471"/>
      <c r="U220" s="1471"/>
      <c r="V220" s="1471"/>
      <c r="W220" s="1471"/>
      <c r="X220" s="1471"/>
      <c r="Y220" s="1471"/>
      <c r="Z220" s="1471"/>
      <c r="AC220" s="1357" t="s">
        <v>806</v>
      </c>
      <c r="AD220" s="1357"/>
      <c r="AE220" s="1357"/>
      <c r="AF220" s="1357"/>
      <c r="AG220" s="1357"/>
      <c r="AH220" s="1357"/>
      <c r="AI220" s="1357"/>
      <c r="AJ220" s="1357"/>
      <c r="AK220" s="1357"/>
      <c r="AL220" s="1357"/>
      <c r="AM220" s="1357"/>
      <c r="AN220" s="1357"/>
      <c r="AO220" s="1357"/>
      <c r="AP220" s="1357"/>
      <c r="AQ220" s="1357"/>
      <c r="BA220" s="2"/>
      <c r="BC220" t="s">
        <v>1054</v>
      </c>
    </row>
    <row r="221" spans="1:108" ht="13" customHeight="1">
      <c r="A221" s="1"/>
      <c r="B221" s="11"/>
      <c r="C221" s="1"/>
      <c r="BA221" s="2"/>
    </row>
    <row r="222" spans="1:108" ht="13" customHeight="1">
      <c r="A222" s="1486" t="s">
        <v>1055</v>
      </c>
      <c r="B222" s="1486"/>
      <c r="C222" s="1486"/>
      <c r="D222" s="1486"/>
      <c r="E222" s="1486"/>
      <c r="F222" s="1486"/>
      <c r="G222" s="1486"/>
      <c r="H222" s="1486"/>
      <c r="I222" s="1486"/>
      <c r="J222" s="1486"/>
      <c r="K222" s="1486"/>
      <c r="L222" s="1486"/>
      <c r="M222" s="1486"/>
      <c r="N222" s="1486"/>
      <c r="O222" s="1486"/>
      <c r="P222" s="1486"/>
      <c r="Q222" s="1486"/>
      <c r="R222" s="1486"/>
      <c r="S222" s="1486"/>
      <c r="T222" s="1486"/>
      <c r="U222" s="1486"/>
      <c r="V222" s="1486"/>
      <c r="W222" s="1486"/>
      <c r="X222" s="1486"/>
      <c r="Y222" s="1486"/>
      <c r="Z222" s="1486"/>
      <c r="AA222" s="1486"/>
      <c r="AB222" s="1486"/>
      <c r="AC222" s="1486"/>
      <c r="AD222" s="1486"/>
      <c r="AE222" s="1486"/>
      <c r="AF222" s="1486"/>
      <c r="AG222" s="1486"/>
      <c r="AH222" s="1486"/>
      <c r="AI222" s="1486"/>
      <c r="AJ222" s="1486"/>
      <c r="AK222" s="1486"/>
      <c r="AL222" s="1486"/>
      <c r="AM222" s="1486"/>
      <c r="AN222" s="1486"/>
      <c r="AO222" s="1486"/>
      <c r="AP222" s="1486"/>
      <c r="AQ222" s="1486"/>
      <c r="AR222" s="1486"/>
      <c r="AS222" s="1486"/>
      <c r="AT222" s="1486"/>
      <c r="AU222" s="54"/>
      <c r="AV222" s="54"/>
      <c r="AW222" s="54"/>
      <c r="AX222" s="54"/>
      <c r="AY222" s="54"/>
      <c r="AZ222" s="2"/>
      <c r="BA222" s="2"/>
      <c r="BP222" s="2"/>
    </row>
    <row r="223" spans="1:108" ht="13" customHeight="1">
      <c r="A223" s="1486"/>
      <c r="B223" s="1486"/>
      <c r="C223" s="1486"/>
      <c r="D223" s="1486"/>
      <c r="E223" s="1486"/>
      <c r="F223" s="1486"/>
      <c r="G223" s="1486"/>
      <c r="H223" s="1486"/>
      <c r="I223" s="1486"/>
      <c r="J223" s="1486"/>
      <c r="K223" s="1486"/>
      <c r="L223" s="1486"/>
      <c r="M223" s="1486"/>
      <c r="N223" s="1486"/>
      <c r="O223" s="1486"/>
      <c r="P223" s="1486"/>
      <c r="Q223" s="1486"/>
      <c r="R223" s="1486"/>
      <c r="S223" s="1486"/>
      <c r="T223" s="1486"/>
      <c r="U223" s="1486"/>
      <c r="V223" s="1486"/>
      <c r="W223" s="1486"/>
      <c r="X223" s="1486"/>
      <c r="Y223" s="1486"/>
      <c r="Z223" s="1486"/>
      <c r="AA223" s="1486"/>
      <c r="AB223" s="1486"/>
      <c r="AC223" s="1486"/>
      <c r="AD223" s="1486"/>
      <c r="AE223" s="1486"/>
      <c r="AF223" s="1486"/>
      <c r="AG223" s="1486"/>
      <c r="AH223" s="1486"/>
      <c r="AI223" s="1486"/>
      <c r="AJ223" s="1486"/>
      <c r="AK223" s="1486"/>
      <c r="AL223" s="1486"/>
      <c r="AM223" s="1486"/>
      <c r="AN223" s="1486"/>
      <c r="AO223" s="1486"/>
      <c r="AP223" s="1486"/>
      <c r="AQ223" s="1486"/>
      <c r="AR223" s="1486"/>
      <c r="AS223" s="1486"/>
      <c r="AT223" s="1486"/>
      <c r="BA223" s="2"/>
      <c r="BB223" s="2"/>
      <c r="BQ223" s="2"/>
    </row>
    <row r="224" spans="1:108" ht="13" customHeight="1">
      <c r="AZ224" s="2"/>
      <c r="BA224" s="2"/>
      <c r="BB224" s="2"/>
      <c r="BQ224" s="2"/>
    </row>
    <row r="225" spans="1:59" ht="13" customHeight="1">
      <c r="A225" s="1" t="s">
        <v>872</v>
      </c>
      <c r="B225" s="1"/>
      <c r="C225" s="1" t="s">
        <v>1056</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3" customHeight="1">
      <c r="B226" s="2"/>
      <c r="D226" s="2" t="s">
        <v>1057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53" t="s">
        <v>800</v>
      </c>
      <c r="AJ226" s="1353"/>
      <c r="AL226" s="2"/>
      <c r="AM226" s="2"/>
      <c r="AN226" s="2"/>
      <c r="AO226" s="2"/>
      <c r="AP226" s="2"/>
      <c r="AQ226" s="2"/>
      <c r="AR226" s="2"/>
      <c r="AS226" s="2"/>
      <c r="AT226" s="2"/>
      <c r="AU226" s="2"/>
      <c r="AV226" s="2"/>
      <c r="AW226" s="2"/>
      <c r="AX226" s="2"/>
      <c r="AY226" s="2"/>
      <c r="AZ226" s="2"/>
      <c r="BB226" s="113" t="s">
        <v>1058</v>
      </c>
      <c r="BG226" s="143">
        <f>IF(AND(AND($M$249="for profit",$M$257="for profit",$M$265="nonprofit")),2,0)</f>
        <v>0</v>
      </c>
    </row>
    <row r="227" spans="1:59" ht="13" customHeight="1">
      <c r="B227" s="2"/>
      <c r="D227" s="2" t="s">
        <v>1059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53" t="s">
        <v>847</v>
      </c>
      <c r="AJ227" s="1353"/>
      <c r="AL227" s="2"/>
      <c r="AM227" s="2"/>
      <c r="AN227" s="2"/>
      <c r="AO227" s="2"/>
      <c r="AP227" s="2"/>
      <c r="AQ227" s="2"/>
      <c r="AR227" s="2"/>
      <c r="AS227" s="2"/>
      <c r="AT227" s="2"/>
      <c r="AU227" s="2"/>
      <c r="AV227" s="2"/>
      <c r="AW227" s="2"/>
      <c r="AX227" s="2"/>
      <c r="AY227" s="2"/>
      <c r="BA227" s="2"/>
      <c r="BB227" s="113" t="s">
        <v>1058</v>
      </c>
      <c r="BG227" s="143">
        <f>IF(AND(AND($M$249="for profit",$M$257="nonprofit",$M$265="for profit")),2,0)</f>
        <v>0</v>
      </c>
    </row>
    <row r="228" spans="1:59" ht="13" customHeight="1">
      <c r="B228" s="2"/>
      <c r="D228" s="2" t="s">
        <v>1060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53" t="s">
        <v>847</v>
      </c>
      <c r="AJ228" s="1353"/>
      <c r="AL228" s="2"/>
      <c r="AM228" s="2"/>
      <c r="AN228" s="2"/>
      <c r="AO228" s="2"/>
      <c r="AP228" s="2"/>
      <c r="AQ228" s="2"/>
      <c r="AR228" s="2"/>
      <c r="AS228" s="2"/>
      <c r="AT228" s="2"/>
      <c r="AU228" s="2"/>
      <c r="AV228" s="2"/>
      <c r="AW228" s="2"/>
      <c r="AX228" s="2"/>
      <c r="AY228" s="2"/>
      <c r="AZ228" s="2"/>
      <c r="BA228" s="2"/>
      <c r="BB228" s="113" t="s">
        <v>1058</v>
      </c>
      <c r="BG228" s="143">
        <f>IF(AND(AND($M$249="nonprofit",$M$257="for profit",$M$265="for profit")),2,0)</f>
        <v>0</v>
      </c>
    </row>
    <row r="229" spans="1:59" ht="13" customHeight="1">
      <c r="B229" s="2"/>
      <c r="D229" s="2" t="s">
        <v>1061</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53" t="s">
        <v>800</v>
      </c>
      <c r="AJ229" s="1353"/>
      <c r="AL229" s="2"/>
      <c r="AM229" s="2"/>
      <c r="AN229" s="2"/>
      <c r="AO229" s="2"/>
      <c r="AP229" s="2"/>
      <c r="AQ229" s="2"/>
      <c r="AR229" s="2"/>
      <c r="AS229" s="2"/>
      <c r="AT229" s="2"/>
      <c r="AU229" s="2"/>
      <c r="AV229" s="2"/>
      <c r="AW229" s="2"/>
      <c r="AX229" s="2"/>
      <c r="AY229" s="2"/>
      <c r="BA229" s="2"/>
      <c r="BB229" s="113" t="s">
        <v>1058</v>
      </c>
      <c r="BG229" s="143">
        <f>IF(AND(AND($M$249="for profit",$M$257="nonprofit",$M$265="(select one)")),2,0)</f>
        <v>0</v>
      </c>
    </row>
    <row r="230" spans="1:5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1058</v>
      </c>
      <c r="BG230" s="142">
        <f>IF(AND(AND($M$249="nonprofit",$M$257="for profit",$M$265="(select one)")),2,0)</f>
        <v>0</v>
      </c>
    </row>
    <row r="231" spans="1:59" ht="13" customHeight="1">
      <c r="A231" s="1" t="s">
        <v>913</v>
      </c>
      <c r="B231" s="2"/>
      <c r="C231" s="1" t="s">
        <v>1062</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3" customHeight="1">
      <c r="D232" s="2" t="s">
        <v>1063</v>
      </c>
      <c r="E232" s="2"/>
      <c r="F232" s="2"/>
      <c r="G232" s="2"/>
      <c r="H232" s="2"/>
      <c r="I232" s="2"/>
      <c r="J232" s="2"/>
      <c r="K232" s="2"/>
      <c r="M232" s="1506" t="str">
        <f>H16</f>
        <v>Self-Help Enterprises</v>
      </c>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c r="AI232" s="1506"/>
      <c r="AJ232" s="1506"/>
      <c r="AK232" s="1506"/>
      <c r="AZ232" s="2"/>
      <c r="BA232" s="2"/>
      <c r="BB232" s="114" t="s">
        <v>1058</v>
      </c>
      <c r="BG232" s="143">
        <f>IF(AND(AND($M$249="nonprofit",$M$257="nonprofit",$M$265="for profit")),2,0)</f>
        <v>0</v>
      </c>
    </row>
    <row r="233" spans="1:59" ht="13" customHeight="1">
      <c r="D233" s="2" t="s">
        <v>1064</v>
      </c>
      <c r="E233" s="2"/>
      <c r="F233" s="2"/>
      <c r="G233" s="2"/>
      <c r="H233" s="2"/>
      <c r="I233" s="2"/>
      <c r="J233" s="2"/>
      <c r="K233" s="2"/>
      <c r="M233" s="1471" t="s">
        <v>1065</v>
      </c>
      <c r="N233" s="1471"/>
      <c r="O233" s="1471"/>
      <c r="P233" s="1471"/>
      <c r="Q233" s="1471"/>
      <c r="R233" s="1471"/>
      <c r="S233" s="1471"/>
      <c r="T233" s="1471"/>
      <c r="U233" s="1471"/>
      <c r="V233" s="1471"/>
      <c r="W233" s="1471"/>
      <c r="X233" s="1471"/>
      <c r="Y233" s="1471"/>
      <c r="Z233" s="1471"/>
      <c r="AA233" s="1471"/>
      <c r="AB233" s="1471"/>
      <c r="AC233" s="1471"/>
      <c r="AD233" s="1471"/>
      <c r="AE233" s="1471"/>
      <c r="BB233" s="114" t="s">
        <v>1058</v>
      </c>
      <c r="BG233" s="143">
        <f>IF(AND(AND($M$249="nonprofit",$M$257="for profit",$M$265="nonprofit")),2,0)</f>
        <v>0</v>
      </c>
    </row>
    <row r="234" spans="1:59" ht="13" customHeight="1">
      <c r="D234" s="2" t="s">
        <v>932</v>
      </c>
      <c r="E234" s="2"/>
      <c r="M234" s="1471" t="s">
        <v>788</v>
      </c>
      <c r="N234" s="1471"/>
      <c r="O234" s="1471"/>
      <c r="P234" s="1471"/>
      <c r="Q234" s="1471"/>
      <c r="R234" s="1471"/>
      <c r="S234" s="1471"/>
      <c r="T234" s="1471"/>
      <c r="V234" s="815" t="s">
        <v>1066</v>
      </c>
      <c r="W234" s="1370" t="s">
        <v>1067</v>
      </c>
      <c r="X234" s="1370"/>
      <c r="Y234" s="2" t="s">
        <v>937</v>
      </c>
      <c r="AC234" s="1471">
        <v>93291</v>
      </c>
      <c r="AD234" s="1471"/>
      <c r="AE234" s="1471"/>
      <c r="AU234" s="2"/>
      <c r="AV234" s="2"/>
      <c r="AW234" s="2"/>
      <c r="AX234" s="2"/>
      <c r="AY234" s="2"/>
      <c r="AZ234" s="2"/>
      <c r="BB234" s="114" t="s">
        <v>1058</v>
      </c>
      <c r="BG234" s="142">
        <f>IF(AND(AND($M$249="for profit",$M$257="nonprofit",$M$265="nonprofit")),2,0)</f>
        <v>0</v>
      </c>
    </row>
    <row r="235" spans="1:59" ht="13" customHeight="1">
      <c r="D235" s="2" t="s">
        <v>1068</v>
      </c>
      <c r="E235" s="2"/>
      <c r="F235" s="2"/>
      <c r="G235" s="2"/>
      <c r="H235" s="2"/>
      <c r="I235" s="2"/>
      <c r="J235" s="2"/>
      <c r="K235" s="1153"/>
      <c r="M235" s="1471" t="s">
        <v>1069</v>
      </c>
      <c r="N235" s="1471"/>
      <c r="O235" s="1471"/>
      <c r="P235" s="1471"/>
      <c r="Q235" s="1471"/>
      <c r="R235" s="1471"/>
      <c r="S235" s="1471"/>
      <c r="T235" s="1471"/>
      <c r="U235" s="1471"/>
      <c r="V235" s="1471"/>
      <c r="W235" s="1471"/>
      <c r="X235" s="1471"/>
      <c r="Y235" s="1471"/>
      <c r="Z235" s="1471"/>
      <c r="AA235" s="1471"/>
      <c r="AB235" s="1471"/>
      <c r="AC235" s="1471"/>
      <c r="AD235" s="1471"/>
      <c r="AE235" s="1471"/>
      <c r="AI235" s="2"/>
      <c r="AJ235" s="2"/>
      <c r="AK235" s="2"/>
      <c r="AL235" s="2"/>
      <c r="AM235" s="2"/>
      <c r="AN235" s="2"/>
      <c r="AO235" s="2"/>
      <c r="AP235" s="2"/>
      <c r="AQ235" s="2"/>
      <c r="AR235" s="2"/>
      <c r="AS235" s="2"/>
      <c r="AT235" s="2"/>
      <c r="BB235" s="114"/>
      <c r="BG235" s="113"/>
    </row>
    <row r="236" spans="1:59" ht="13" customHeight="1">
      <c r="D236" s="2" t="s">
        <v>1070</v>
      </c>
      <c r="E236" s="2"/>
      <c r="F236" s="2"/>
      <c r="M236" s="1421" t="s">
        <v>1071</v>
      </c>
      <c r="N236" s="1421"/>
      <c r="O236" s="1421"/>
      <c r="P236" s="1421"/>
      <c r="Q236" s="1421"/>
      <c r="R236" s="1421"/>
      <c r="S236" s="2" t="s">
        <v>1072</v>
      </c>
      <c r="T236" s="2"/>
      <c r="U236" s="1370"/>
      <c r="V236" s="1370"/>
      <c r="W236" s="1370"/>
      <c r="X236" s="2" t="s">
        <v>1073</v>
      </c>
      <c r="Z236" s="1421"/>
      <c r="AA236" s="1421"/>
      <c r="AB236" s="1421"/>
      <c r="AC236" s="1421"/>
      <c r="AD236" s="1421"/>
      <c r="AE236" s="1421"/>
      <c r="AU236" s="2"/>
      <c r="AV236" s="2"/>
      <c r="AW236" s="2"/>
      <c r="AX236" s="2"/>
      <c r="AY236" s="2"/>
      <c r="AZ236" s="2"/>
      <c r="BB236" s="113" t="s">
        <v>1074</v>
      </c>
      <c r="BG236" s="143">
        <f>IF(AND(AND($M$249="nonprofit",$M$257="nonprofit",$M$265="(select one)")),1,0)</f>
        <v>1</v>
      </c>
    </row>
    <row r="237" spans="1:59" ht="13" customHeight="1">
      <c r="D237" s="2" t="s">
        <v>1075</v>
      </c>
      <c r="E237" s="2"/>
      <c r="F237" s="2"/>
      <c r="M237" s="1490" t="s">
        <v>1076</v>
      </c>
      <c r="N237" s="1490"/>
      <c r="O237" s="1490"/>
      <c r="P237" s="1490"/>
      <c r="Q237" s="1490"/>
      <c r="R237" s="1490"/>
      <c r="S237" s="1490"/>
      <c r="T237" s="1490"/>
      <c r="U237" s="1490"/>
      <c r="V237" s="1490"/>
      <c r="W237" s="1490"/>
      <c r="X237" s="1490"/>
      <c r="Y237" s="1490"/>
      <c r="Z237" s="1490"/>
      <c r="AA237" s="1490"/>
      <c r="AB237" s="1490"/>
      <c r="AC237" s="1490"/>
      <c r="AD237" s="1490"/>
      <c r="AE237" s="1490"/>
      <c r="AF237" s="2"/>
      <c r="AG237" s="2"/>
      <c r="AH237" s="2"/>
      <c r="AI237" s="2"/>
      <c r="AJ237" s="2"/>
      <c r="AK237" s="2"/>
      <c r="AL237" s="2"/>
      <c r="AM237" s="2"/>
      <c r="AN237" s="2"/>
      <c r="AO237" s="2"/>
      <c r="AP237" s="2"/>
      <c r="AQ237" s="2"/>
      <c r="AR237" s="2"/>
      <c r="AS237" s="2"/>
      <c r="AT237" s="2"/>
      <c r="AU237" s="2"/>
      <c r="AV237" s="2"/>
      <c r="AW237" s="2"/>
      <c r="AX237" s="2"/>
      <c r="AY237" s="2"/>
      <c r="BB237" s="113" t="s">
        <v>1074</v>
      </c>
      <c r="BG237" s="143">
        <f>IF(AND(AND($M$249="nonprofit",$M$257="nonprofit",$M$265="nonprofit")),1,0)</f>
        <v>0</v>
      </c>
    </row>
    <row r="238" spans="1:59" ht="13" customHeight="1">
      <c r="A238" s="1" t="s">
        <v>992</v>
      </c>
      <c r="C238" s="1" t="s">
        <v>1077</v>
      </c>
      <c r="M238" s="1322" t="s">
        <v>1053</v>
      </c>
      <c r="N238" s="1322"/>
      <c r="O238" s="1322"/>
      <c r="P238" s="1322"/>
      <c r="Q238" s="1322"/>
      <c r="R238" s="1322"/>
      <c r="S238" s="1322"/>
      <c r="T238" s="1322"/>
      <c r="U238" s="113" t="s">
        <v>1078</v>
      </c>
      <c r="V238" s="113"/>
      <c r="W238" s="113"/>
      <c r="X238" s="113"/>
      <c r="Y238" s="113"/>
      <c r="Z238" s="113"/>
      <c r="AA238" s="1492"/>
      <c r="AB238" s="1492"/>
      <c r="AC238" s="1492"/>
      <c r="AD238" s="1492"/>
      <c r="AE238" s="1492"/>
      <c r="AF238" s="1492"/>
      <c r="AG238" s="1492"/>
      <c r="AH238" s="1492"/>
      <c r="AI238" s="1492"/>
      <c r="AJ238" s="1492"/>
      <c r="AK238" s="1492"/>
      <c r="AL238" s="2"/>
      <c r="AM238" s="2"/>
      <c r="AN238" s="2"/>
      <c r="AO238" s="2"/>
      <c r="AP238" s="2"/>
      <c r="AQ238" s="2"/>
      <c r="AR238" s="2"/>
      <c r="AS238" s="2"/>
      <c r="AT238" s="2"/>
      <c r="AU238" s="2"/>
      <c r="AV238" s="2"/>
      <c r="AW238" s="2"/>
      <c r="AX238" s="2"/>
      <c r="AY238" s="2"/>
      <c r="BB238" s="113" t="s">
        <v>1074</v>
      </c>
      <c r="BG238" s="143">
        <f>IF(AND(AND($M$249="nonprofit",$M$257="(select one)",$M$265="(select one)")),1,0)</f>
        <v>0</v>
      </c>
    </row>
    <row r="239" spans="1:59" ht="13" customHeight="1">
      <c r="D239" t="s">
        <v>1079</v>
      </c>
      <c r="M239" s="1369"/>
      <c r="N239" s="1369"/>
      <c r="O239" s="1369"/>
      <c r="P239" s="1369"/>
      <c r="Q239" s="1369"/>
      <c r="R239" s="1369"/>
      <c r="S239" s="1369"/>
      <c r="T239" s="1369"/>
      <c r="U239" s="1369"/>
      <c r="V239" s="1369"/>
      <c r="W239" s="1369"/>
      <c r="X239" s="1369"/>
      <c r="Y239" s="1369"/>
      <c r="Z239" s="1369"/>
      <c r="AA239" s="1369"/>
      <c r="AB239" s="1369"/>
      <c r="AC239" s="1369"/>
      <c r="AD239" s="1369"/>
      <c r="AE239" s="1369"/>
      <c r="AF239" s="2"/>
      <c r="AG239" s="2"/>
      <c r="AH239" s="2"/>
      <c r="AI239" s="2"/>
      <c r="AJ239" s="2"/>
      <c r="AK239" s="2"/>
      <c r="AL239" s="2"/>
      <c r="AM239" s="2"/>
      <c r="AN239" s="2"/>
      <c r="AO239" s="2"/>
      <c r="AP239" s="2"/>
      <c r="AQ239" s="2"/>
      <c r="AR239" s="2"/>
      <c r="AS239" s="2"/>
      <c r="AT239" s="2"/>
      <c r="BB239" s="113" t="s">
        <v>1080</v>
      </c>
      <c r="BG239" s="143">
        <f>IF(AND(AND($M$249="for profit",$M$257="for profit",$M$265="(select one)")),3,0)</f>
        <v>0</v>
      </c>
    </row>
    <row r="240" spans="1:59" ht="13" customHeight="1">
      <c r="D240" s="2"/>
      <c r="BB240" s="113" t="s">
        <v>1080</v>
      </c>
      <c r="BG240" s="143">
        <f>IF(AND(AND($M$249="for profit",$M$257="for profit",$M$265="for profit")),3,0)</f>
        <v>0</v>
      </c>
    </row>
    <row r="241" spans="1:67" ht="13" customHeight="1">
      <c r="A241" s="1" t="s">
        <v>1010</v>
      </c>
      <c r="C241" s="1" t="s">
        <v>1081</v>
      </c>
      <c r="D241" s="2"/>
      <c r="L241" s="6"/>
      <c r="M241" s="6"/>
      <c r="N241" s="6"/>
      <c r="AU241" s="2"/>
      <c r="AV241" s="2"/>
      <c r="AW241" s="2"/>
      <c r="AX241" s="2"/>
      <c r="AY241" s="2"/>
      <c r="BB241" s="113" t="s">
        <v>1080</v>
      </c>
      <c r="BG241" s="143">
        <f>IF(AND(AND($M$249="for profit",$M$257="(select one)",$M$265="(select one)")),3,0)</f>
        <v>0</v>
      </c>
    </row>
    <row r="242" spans="1:67" ht="13"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3" customHeight="1">
      <c r="A243" s="1153"/>
      <c r="B243" s="2"/>
      <c r="C243" s="37" t="s">
        <v>1082</v>
      </c>
      <c r="D243" s="2" t="s">
        <v>1083</v>
      </c>
      <c r="E243" s="2"/>
      <c r="F243" s="2"/>
      <c r="G243" s="2"/>
      <c r="H243" s="2"/>
      <c r="I243" s="2"/>
      <c r="J243" s="2"/>
      <c r="K243" s="2"/>
      <c r="L243" s="2"/>
      <c r="M243" s="1489" t="s">
        <v>1084</v>
      </c>
      <c r="N243" s="1489"/>
      <c r="O243" s="1489"/>
      <c r="P243" s="1489"/>
      <c r="Q243" s="1489"/>
      <c r="R243" s="1489"/>
      <c r="S243" s="1489"/>
      <c r="T243" s="1489"/>
      <c r="U243" s="1489"/>
      <c r="V243" s="1489"/>
      <c r="W243" s="1489"/>
      <c r="X243" s="1489"/>
      <c r="Y243" s="1489"/>
      <c r="Z243" s="1489"/>
      <c r="AA243" s="1489"/>
      <c r="AB243" s="1489"/>
      <c r="AC243" s="1489"/>
      <c r="AD243" s="1489"/>
      <c r="AE243" s="1489"/>
      <c r="AF243" s="1489" t="s">
        <v>1085</v>
      </c>
      <c r="AG243" s="1489"/>
      <c r="AH243" s="1489"/>
      <c r="AI243" s="1489"/>
      <c r="AJ243" s="1489"/>
      <c r="AK243" s="1489"/>
      <c r="AU243" s="2"/>
      <c r="AV243" s="2"/>
      <c r="AW243" s="2"/>
      <c r="AX243" s="2"/>
      <c r="AY243" s="2"/>
      <c r="BG243">
        <f>SUM(BG226:BG241)</f>
        <v>1</v>
      </c>
    </row>
    <row r="244" spans="1:67" ht="13" customHeight="1">
      <c r="A244" s="1153"/>
      <c r="B244" s="2"/>
      <c r="C244" s="2"/>
      <c r="D244" s="2" t="s">
        <v>1064</v>
      </c>
      <c r="E244" s="2"/>
      <c r="F244" s="2"/>
      <c r="G244" s="2"/>
      <c r="H244" s="2"/>
      <c r="I244" s="2"/>
      <c r="J244" s="2"/>
      <c r="K244" s="2"/>
      <c r="L244" s="2"/>
      <c r="M244" s="1471" t="s">
        <v>1086</v>
      </c>
      <c r="N244" s="1471"/>
      <c r="O244" s="1471"/>
      <c r="P244" s="1471"/>
      <c r="Q244" s="1471"/>
      <c r="R244" s="1471"/>
      <c r="S244" s="1471"/>
      <c r="T244" s="1471"/>
      <c r="U244" s="1471"/>
      <c r="V244" s="1471"/>
      <c r="W244" s="1471"/>
      <c r="X244" s="1471"/>
      <c r="Y244" s="1471"/>
      <c r="Z244" s="1471"/>
      <c r="AA244" s="1471"/>
      <c r="AB244" s="1471"/>
      <c r="AC244" s="1471"/>
      <c r="AD244" s="1471"/>
      <c r="AE244" s="1471"/>
      <c r="AF244" s="2" t="s">
        <v>1087</v>
      </c>
      <c r="AL244" s="2"/>
      <c r="AM244" s="2"/>
      <c r="AN244" s="2"/>
      <c r="AO244" s="2"/>
      <c r="AP244" s="2"/>
      <c r="AQ244" s="2"/>
      <c r="AR244" s="2"/>
      <c r="AS244" s="2"/>
      <c r="AT244" s="2"/>
      <c r="BB244" t="s">
        <v>478</v>
      </c>
      <c r="BG244">
        <v>1</v>
      </c>
      <c r="BH244" t="s">
        <v>1088</v>
      </c>
    </row>
    <row r="245" spans="1:67" ht="13" customHeight="1">
      <c r="A245" s="1153"/>
      <c r="B245" s="2"/>
      <c r="C245" s="2"/>
      <c r="D245" s="2" t="s">
        <v>932</v>
      </c>
      <c r="E245" s="2"/>
      <c r="M245" s="1471" t="s">
        <v>788</v>
      </c>
      <c r="N245" s="1471"/>
      <c r="O245" s="1471"/>
      <c r="P245" s="1471"/>
      <c r="Q245" s="1471"/>
      <c r="R245" s="1471"/>
      <c r="S245" s="1471"/>
      <c r="T245" s="1471"/>
      <c r="V245" s="815" t="s">
        <v>1066</v>
      </c>
      <c r="W245" s="1370" t="s">
        <v>1067</v>
      </c>
      <c r="X245" s="1370"/>
      <c r="Y245" s="2" t="s">
        <v>937</v>
      </c>
      <c r="AC245" s="1471">
        <v>93291</v>
      </c>
      <c r="AD245" s="1471"/>
      <c r="AE245" s="1471"/>
      <c r="AF245" s="2" t="s">
        <v>1089</v>
      </c>
      <c r="AU245" s="2"/>
      <c r="AV245" s="2"/>
      <c r="AW245" s="2"/>
      <c r="AX245" s="2"/>
      <c r="AY245" s="2"/>
      <c r="BB245" s="2" t="s">
        <v>1090</v>
      </c>
      <c r="BG245">
        <v>2</v>
      </c>
      <c r="BH245" t="s">
        <v>1044</v>
      </c>
      <c r="BO245" s="1154" t="str">
        <f>VLOOKUP(BG243,BG244:BH247,2,FALSE)</f>
        <v>Nonprofit</v>
      </c>
    </row>
    <row r="246" spans="1:67" ht="13" customHeight="1">
      <c r="A246" s="1153"/>
      <c r="B246" s="2"/>
      <c r="C246" s="2"/>
      <c r="D246" s="2" t="s">
        <v>1068</v>
      </c>
      <c r="E246" s="2"/>
      <c r="F246" s="2"/>
      <c r="G246" s="2"/>
      <c r="H246" s="2"/>
      <c r="I246" s="2"/>
      <c r="J246" s="2"/>
      <c r="K246" s="2"/>
      <c r="L246" s="1153"/>
      <c r="M246" s="1471" t="s">
        <v>1069</v>
      </c>
      <c r="N246" s="1471"/>
      <c r="O246" s="1471"/>
      <c r="P246" s="1471"/>
      <c r="Q246" s="1471"/>
      <c r="R246" s="1471"/>
      <c r="S246" s="1471"/>
      <c r="T246" s="1471"/>
      <c r="U246" s="1471"/>
      <c r="V246" s="1471"/>
      <c r="W246" s="1471"/>
      <c r="X246" s="1471"/>
      <c r="Y246" s="1471"/>
      <c r="Z246" s="1471"/>
      <c r="AA246" s="1471"/>
      <c r="AB246" s="1471"/>
      <c r="AC246" s="1471"/>
      <c r="AD246" s="1471"/>
      <c r="AE246" s="1471"/>
      <c r="AH246" s="1480">
        <v>5.0000000000000001E-3</v>
      </c>
      <c r="AI246" s="1480"/>
      <c r="AJ246" s="1480"/>
      <c r="AK246" s="1480"/>
      <c r="AL246" s="2"/>
      <c r="AM246" s="2"/>
      <c r="AN246" s="2"/>
      <c r="AO246" s="2"/>
      <c r="AP246" s="2"/>
      <c r="AQ246" s="2"/>
      <c r="AR246" s="2"/>
      <c r="AS246" s="2"/>
      <c r="AT246" s="2"/>
      <c r="BB246" s="2" t="s">
        <v>1091</v>
      </c>
      <c r="BG246">
        <v>3</v>
      </c>
      <c r="BH246" t="s">
        <v>1092</v>
      </c>
      <c r="BN246" s="2"/>
    </row>
    <row r="247" spans="1:67" ht="13" customHeight="1">
      <c r="A247" s="1153"/>
      <c r="B247" s="2"/>
      <c r="C247" s="2"/>
      <c r="D247" s="2" t="s">
        <v>1070</v>
      </c>
      <c r="E247" s="2"/>
      <c r="F247" s="2"/>
      <c r="M247" s="1421" t="s">
        <v>1071</v>
      </c>
      <c r="N247" s="1421"/>
      <c r="O247" s="1421"/>
      <c r="P247" s="1421"/>
      <c r="Q247" s="1421"/>
      <c r="R247" s="1421"/>
      <c r="S247" s="2" t="s">
        <v>1072</v>
      </c>
      <c r="T247" s="2"/>
      <c r="U247" s="1370"/>
      <c r="V247" s="1370"/>
      <c r="W247" s="1370"/>
      <c r="X247" s="2" t="s">
        <v>1073</v>
      </c>
      <c r="Z247" s="1421"/>
      <c r="AA247" s="1421"/>
      <c r="AB247" s="1421"/>
      <c r="AC247" s="1421"/>
      <c r="AD247" s="1421"/>
      <c r="AE247" s="1421"/>
      <c r="AU247" s="2"/>
      <c r="AV247" s="2"/>
      <c r="AW247" s="2"/>
      <c r="AX247" s="2"/>
      <c r="AY247" s="2"/>
      <c r="BG247">
        <v>0</v>
      </c>
      <c r="BH247" s="2" t="str">
        <f>""</f>
        <v/>
      </c>
      <c r="BN247" s="2"/>
    </row>
    <row r="248" spans="1:67" ht="13" customHeight="1">
      <c r="A248" s="1153"/>
      <c r="B248" s="2"/>
      <c r="C248" s="2"/>
      <c r="D248" s="2" t="s">
        <v>1075</v>
      </c>
      <c r="E248" s="2"/>
      <c r="F248" s="2"/>
      <c r="M248" s="1490" t="s">
        <v>1076</v>
      </c>
      <c r="N248" s="1490"/>
      <c r="O248" s="1490"/>
      <c r="P248" s="1490"/>
      <c r="Q248" s="1490"/>
      <c r="R248" s="1490"/>
      <c r="S248" s="1490"/>
      <c r="T248" s="1490"/>
      <c r="U248" s="1490"/>
      <c r="V248" s="1490"/>
      <c r="W248" s="1490"/>
      <c r="X248" s="1490"/>
      <c r="Y248" s="1490"/>
      <c r="Z248" s="1490"/>
      <c r="AA248" s="1490"/>
      <c r="AB248" s="1490"/>
      <c r="AC248" s="1490"/>
      <c r="AD248" s="1490"/>
      <c r="AE248" s="1490"/>
      <c r="AG248" s="2"/>
      <c r="AH248" s="2"/>
      <c r="AI248" s="2"/>
      <c r="AJ248" s="2"/>
      <c r="AK248" s="2"/>
      <c r="AL248" s="2"/>
      <c r="AM248" s="2"/>
      <c r="AN248" s="2"/>
      <c r="AO248" s="2"/>
      <c r="AP248" s="2"/>
      <c r="AQ248" s="2"/>
      <c r="AR248" s="2"/>
      <c r="AS248" s="2"/>
      <c r="AT248" s="2"/>
      <c r="BN248" s="2"/>
    </row>
    <row r="249" spans="1:67" ht="13" customHeight="1">
      <c r="A249" s="1066"/>
      <c r="B249" s="2"/>
      <c r="C249" s="37"/>
      <c r="D249" s="2" t="s">
        <v>1093</v>
      </c>
      <c r="E249" s="2"/>
      <c r="F249" s="2"/>
      <c r="G249" s="2"/>
      <c r="H249" s="2"/>
      <c r="I249" s="2"/>
      <c r="J249" s="2"/>
      <c r="K249" s="2"/>
      <c r="L249" s="2"/>
      <c r="M249" s="1322" t="s">
        <v>1088</v>
      </c>
      <c r="N249" s="1322"/>
      <c r="O249" s="1322"/>
      <c r="P249" s="1322"/>
      <c r="Q249" s="1322"/>
      <c r="R249" s="1322"/>
      <c r="S249" s="1322"/>
      <c r="T249" s="1322"/>
      <c r="U249" s="113" t="s">
        <v>1078</v>
      </c>
      <c r="V249" s="113"/>
      <c r="W249" s="113"/>
      <c r="X249" s="113"/>
      <c r="Y249" s="113"/>
      <c r="Z249" s="113"/>
      <c r="AA249" s="1491" t="s">
        <v>668</v>
      </c>
      <c r="AB249" s="1492"/>
      <c r="AC249" s="1492"/>
      <c r="AD249" s="1492"/>
      <c r="AE249" s="1492"/>
      <c r="AF249" s="1492"/>
      <c r="AG249" s="1492"/>
      <c r="AH249" s="1492"/>
      <c r="AI249" s="1492"/>
      <c r="AJ249" s="1492"/>
      <c r="AK249" s="1492"/>
      <c r="BN249" s="2"/>
    </row>
    <row r="250" spans="1:67" ht="13" customHeight="1">
      <c r="A250" s="1153"/>
      <c r="B250" s="2"/>
      <c r="C250" s="2"/>
      <c r="D250" s="2"/>
      <c r="E250" s="2"/>
      <c r="F250" s="2"/>
      <c r="G250" s="2"/>
      <c r="H250" s="2"/>
      <c r="I250" s="2"/>
      <c r="J250" s="2"/>
      <c r="K250" s="2"/>
      <c r="L250" s="2"/>
      <c r="AG250" s="2"/>
      <c r="AH250" s="2"/>
      <c r="AI250" s="2"/>
      <c r="AJ250" s="2"/>
      <c r="BN250" s="2"/>
    </row>
    <row r="251" spans="1:67" ht="13" customHeight="1">
      <c r="A251" s="1"/>
      <c r="B251" s="2"/>
      <c r="C251" s="37" t="s">
        <v>1094</v>
      </c>
      <c r="D251" s="2" t="s">
        <v>1095</v>
      </c>
      <c r="E251" s="2"/>
      <c r="F251" s="2"/>
      <c r="G251" s="2"/>
      <c r="H251" s="2"/>
      <c r="I251" s="2"/>
      <c r="J251" s="2"/>
      <c r="K251" s="2"/>
      <c r="L251" s="2"/>
      <c r="M251" s="1489" t="s">
        <v>1096</v>
      </c>
      <c r="N251" s="1489"/>
      <c r="O251" s="1489"/>
      <c r="P251" s="1489"/>
      <c r="Q251" s="1489"/>
      <c r="R251" s="1489"/>
      <c r="S251" s="1489"/>
      <c r="T251" s="1489"/>
      <c r="U251" s="1489"/>
      <c r="V251" s="1489"/>
      <c r="W251" s="1489"/>
      <c r="X251" s="1489"/>
      <c r="Y251" s="1489"/>
      <c r="Z251" s="1489"/>
      <c r="AA251" s="1489"/>
      <c r="AB251" s="1489"/>
      <c r="AC251" s="1489"/>
      <c r="AD251" s="1489"/>
      <c r="AE251" s="1489"/>
      <c r="AF251" s="1489" t="s">
        <v>478</v>
      </c>
      <c r="AG251" s="1489"/>
      <c r="AH251" s="1489"/>
      <c r="AI251" s="1489"/>
      <c r="AJ251" s="1489"/>
      <c r="AK251" s="1489"/>
      <c r="AU251" s="2"/>
      <c r="AV251" s="2"/>
      <c r="AW251" s="2"/>
      <c r="AX251" s="2"/>
      <c r="AY251" s="2"/>
      <c r="BN251" s="2"/>
    </row>
    <row r="252" spans="1:67" ht="13" customHeight="1">
      <c r="A252" s="1153"/>
      <c r="B252" s="2"/>
      <c r="C252" s="2"/>
      <c r="D252" s="2" t="s">
        <v>1064</v>
      </c>
      <c r="E252" s="2"/>
      <c r="F252" s="2"/>
      <c r="G252" s="2"/>
      <c r="H252" s="2"/>
      <c r="I252" s="2"/>
      <c r="J252" s="2"/>
      <c r="K252" s="2"/>
      <c r="L252" s="2"/>
      <c r="M252" s="1471" t="s">
        <v>1097</v>
      </c>
      <c r="N252" s="1471"/>
      <c r="O252" s="1471"/>
      <c r="P252" s="1471"/>
      <c r="Q252" s="1471"/>
      <c r="R252" s="1471"/>
      <c r="S252" s="1471"/>
      <c r="T252" s="1471"/>
      <c r="U252" s="1471"/>
      <c r="V252" s="1471"/>
      <c r="W252" s="1471"/>
      <c r="X252" s="1471"/>
      <c r="Y252" s="1471"/>
      <c r="Z252" s="1471"/>
      <c r="AA252" s="1471"/>
      <c r="AB252" s="1471"/>
      <c r="AC252" s="1471"/>
      <c r="AD252" s="1471"/>
      <c r="AE252" s="1471"/>
      <c r="AF252" s="2" t="s">
        <v>1087</v>
      </c>
      <c r="AL252" s="2"/>
      <c r="AM252" s="2"/>
      <c r="AN252" s="2"/>
      <c r="AO252" s="2"/>
      <c r="AP252" s="2"/>
      <c r="AQ252" s="2"/>
      <c r="AR252" s="2"/>
      <c r="AS252" s="2"/>
      <c r="AT252" s="2"/>
      <c r="BN252" s="2"/>
    </row>
    <row r="253" spans="1:67" ht="13" customHeight="1">
      <c r="A253" s="1153"/>
      <c r="B253" s="2"/>
      <c r="C253" s="2"/>
      <c r="D253" s="2" t="s">
        <v>932</v>
      </c>
      <c r="E253" s="2"/>
      <c r="M253" s="1471" t="s">
        <v>1098</v>
      </c>
      <c r="N253" s="1471"/>
      <c r="O253" s="1471"/>
      <c r="P253" s="1471"/>
      <c r="Q253" s="1471"/>
      <c r="R253" s="1471"/>
      <c r="S253" s="1471"/>
      <c r="T253" s="1471"/>
      <c r="V253" s="815" t="s">
        <v>1066</v>
      </c>
      <c r="W253" s="1370" t="s">
        <v>1067</v>
      </c>
      <c r="X253" s="1370"/>
      <c r="Y253" s="2" t="s">
        <v>937</v>
      </c>
      <c r="AC253" s="1471">
        <v>93277</v>
      </c>
      <c r="AD253" s="1471"/>
      <c r="AE253" s="1471"/>
      <c r="AF253" s="2" t="s">
        <v>1089</v>
      </c>
      <c r="AU253" s="2"/>
      <c r="AV253" s="2"/>
      <c r="AW253" s="2"/>
      <c r="AX253" s="2"/>
      <c r="AY253" s="2"/>
      <c r="BN253" s="2"/>
    </row>
    <row r="254" spans="1:67" ht="13" customHeight="1">
      <c r="A254" s="1153"/>
      <c r="B254" s="2"/>
      <c r="C254" s="2"/>
      <c r="D254" s="2" t="s">
        <v>1068</v>
      </c>
      <c r="E254" s="2"/>
      <c r="F254" s="2"/>
      <c r="G254" s="2"/>
      <c r="H254" s="2"/>
      <c r="I254" s="2"/>
      <c r="J254" s="2"/>
      <c r="K254" s="2"/>
      <c r="L254" s="1153"/>
      <c r="M254" s="1471" t="s">
        <v>1099</v>
      </c>
      <c r="N254" s="1471"/>
      <c r="O254" s="1471"/>
      <c r="P254" s="1471"/>
      <c r="Q254" s="1471"/>
      <c r="R254" s="1471"/>
      <c r="S254" s="1471"/>
      <c r="T254" s="1471"/>
      <c r="U254" s="1471"/>
      <c r="V254" s="1471"/>
      <c r="W254" s="1471"/>
      <c r="X254" s="1471"/>
      <c r="Y254" s="1471"/>
      <c r="Z254" s="1471"/>
      <c r="AA254" s="1471"/>
      <c r="AB254" s="1471"/>
      <c r="AC254" s="1471"/>
      <c r="AD254" s="1471"/>
      <c r="AE254" s="1471"/>
      <c r="AH254" s="1480">
        <v>5.0000000000000001E-3</v>
      </c>
      <c r="AI254" s="1480"/>
      <c r="AJ254" s="1480"/>
      <c r="AK254" s="1480"/>
      <c r="AL254" s="2"/>
      <c r="AM254" s="2"/>
      <c r="AN254" s="2"/>
      <c r="AO254" s="2"/>
      <c r="AP254" s="2"/>
      <c r="AQ254" s="2"/>
      <c r="AR254" s="2"/>
      <c r="AS254" s="2"/>
      <c r="AT254" s="2"/>
    </row>
    <row r="255" spans="1:67" ht="13" customHeight="1">
      <c r="A255" s="1153"/>
      <c r="B255" s="2"/>
      <c r="C255" s="2"/>
      <c r="D255" s="2" t="s">
        <v>1070</v>
      </c>
      <c r="E255" s="2"/>
      <c r="F255" s="2"/>
      <c r="M255" s="1421" t="s">
        <v>1100</v>
      </c>
      <c r="N255" s="1421"/>
      <c r="O255" s="1421"/>
      <c r="P255" s="1421"/>
      <c r="Q255" s="1421"/>
      <c r="R255" s="1421"/>
      <c r="S255" s="2" t="s">
        <v>1072</v>
      </c>
      <c r="T255" s="2"/>
      <c r="U255" s="1370"/>
      <c r="V255" s="1370"/>
      <c r="W255" s="1370"/>
      <c r="X255" s="2" t="s">
        <v>1073</v>
      </c>
      <c r="Z255" s="1421"/>
      <c r="AA255" s="1421"/>
      <c r="AB255" s="1421"/>
      <c r="AC255" s="1421"/>
      <c r="AD255" s="1421"/>
      <c r="AE255" s="1421"/>
      <c r="AU255" s="2"/>
      <c r="AV255" s="2"/>
      <c r="AW255" s="2"/>
      <c r="AX255" s="2"/>
      <c r="AY255" s="2"/>
      <c r="BN255" s="2"/>
    </row>
    <row r="256" spans="1:67" ht="13" customHeight="1">
      <c r="A256" s="1153"/>
      <c r="B256" s="2"/>
      <c r="C256" s="2"/>
      <c r="D256" s="2" t="s">
        <v>1075</v>
      </c>
      <c r="E256" s="2"/>
      <c r="F256" s="2"/>
      <c r="M256" s="1490" t="s">
        <v>1101</v>
      </c>
      <c r="N256" s="1490"/>
      <c r="O256" s="1490"/>
      <c r="P256" s="1490"/>
      <c r="Q256" s="1490"/>
      <c r="R256" s="1490"/>
      <c r="S256" s="1490"/>
      <c r="T256" s="1490"/>
      <c r="U256" s="1490"/>
      <c r="V256" s="1490"/>
      <c r="W256" s="1490"/>
      <c r="X256" s="1490"/>
      <c r="Y256" s="1490"/>
      <c r="Z256" s="1490"/>
      <c r="AA256" s="1490"/>
      <c r="AB256" s="1490"/>
      <c r="AC256" s="1490"/>
      <c r="AD256" s="1490"/>
      <c r="AE256" s="1490"/>
      <c r="AG256" s="2"/>
      <c r="AH256" s="2"/>
      <c r="AI256" s="2"/>
      <c r="AJ256" s="2"/>
      <c r="AK256" s="2"/>
      <c r="AL256" s="2"/>
      <c r="AM256" s="2"/>
      <c r="AN256" s="2"/>
      <c r="AO256" s="2"/>
      <c r="AP256" s="2"/>
      <c r="AQ256" s="2"/>
      <c r="AR256" s="2"/>
      <c r="AS256" s="2"/>
      <c r="AT256" s="2"/>
      <c r="AU256" s="2"/>
      <c r="AV256" s="2"/>
      <c r="AW256" s="2"/>
      <c r="AX256" s="2"/>
      <c r="AY256" s="2"/>
      <c r="BN256" s="2"/>
    </row>
    <row r="257" spans="1:51" ht="13" customHeight="1">
      <c r="A257" s="1066"/>
      <c r="B257" s="2"/>
      <c r="C257" s="37"/>
      <c r="D257" s="2" t="s">
        <v>1093</v>
      </c>
      <c r="E257" s="2"/>
      <c r="F257" s="2"/>
      <c r="G257" s="2"/>
      <c r="H257" s="2"/>
      <c r="I257" s="2"/>
      <c r="J257" s="2"/>
      <c r="K257" s="2"/>
      <c r="L257" s="2"/>
      <c r="M257" s="1322" t="s">
        <v>1088</v>
      </c>
      <c r="N257" s="1322"/>
      <c r="O257" s="1322"/>
      <c r="P257" s="1322"/>
      <c r="Q257" s="1322"/>
      <c r="R257" s="1322"/>
      <c r="S257" s="1322"/>
      <c r="T257" s="1322"/>
      <c r="U257" s="113" t="s">
        <v>1078</v>
      </c>
      <c r="V257" s="113"/>
      <c r="W257" s="113"/>
      <c r="X257" s="113"/>
      <c r="Y257" s="113"/>
      <c r="Z257" s="113"/>
      <c r="AA257" s="1491" t="s">
        <v>1102</v>
      </c>
      <c r="AB257" s="1492"/>
      <c r="AC257" s="1492"/>
      <c r="AD257" s="1492"/>
      <c r="AE257" s="1492"/>
      <c r="AF257" s="1492"/>
      <c r="AG257" s="1492"/>
      <c r="AH257" s="1492"/>
      <c r="AI257" s="1492"/>
      <c r="AJ257" s="1492"/>
      <c r="AK257" s="1492"/>
      <c r="AL257" s="2"/>
      <c r="AM257" s="2"/>
      <c r="AN257" s="2"/>
      <c r="AO257" s="2"/>
      <c r="AP257" s="2"/>
      <c r="AQ257" s="2"/>
      <c r="AR257" s="2"/>
      <c r="AS257" s="2"/>
      <c r="AT257" s="2"/>
      <c r="AU257" s="2"/>
      <c r="AV257" s="2"/>
      <c r="AW257" s="2"/>
      <c r="AX257" s="2"/>
      <c r="AY257" s="2"/>
    </row>
    <row r="258" spans="1:51" ht="13" customHeight="1">
      <c r="A258" s="1066"/>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3" customHeight="1">
      <c r="A259" s="1066"/>
      <c r="B259" s="2"/>
      <c r="C259" s="37" t="s">
        <v>1103</v>
      </c>
      <c r="D259" s="2" t="s">
        <v>1083</v>
      </c>
      <c r="E259" s="2"/>
      <c r="F259" s="2"/>
      <c r="G259" s="2"/>
      <c r="H259" s="2"/>
      <c r="I259" s="2"/>
      <c r="J259" s="2"/>
      <c r="K259" s="2"/>
      <c r="L259" s="2"/>
      <c r="M259" s="1489"/>
      <c r="N259" s="1489"/>
      <c r="O259" s="1489"/>
      <c r="P259" s="1489"/>
      <c r="Q259" s="1489"/>
      <c r="R259" s="1489"/>
      <c r="S259" s="1489"/>
      <c r="T259" s="1489"/>
      <c r="U259" s="1489"/>
      <c r="V259" s="1489"/>
      <c r="W259" s="1489"/>
      <c r="X259" s="1489"/>
      <c r="Y259" s="1489"/>
      <c r="Z259" s="1489"/>
      <c r="AA259" s="1489"/>
      <c r="AB259" s="1489"/>
      <c r="AC259" s="1489"/>
      <c r="AD259" s="1489"/>
      <c r="AE259" s="1489"/>
      <c r="AF259" s="1489" t="s">
        <v>478</v>
      </c>
      <c r="AG259" s="1489"/>
      <c r="AH259" s="1489"/>
      <c r="AI259" s="1489"/>
      <c r="AJ259" s="1489"/>
      <c r="AK259" s="1489"/>
      <c r="AL259" s="2"/>
      <c r="AM259" s="2"/>
      <c r="AN259" s="2"/>
      <c r="AO259" s="2"/>
      <c r="AP259" s="2"/>
      <c r="AQ259" s="2"/>
      <c r="AR259" s="2"/>
      <c r="AS259" s="2"/>
      <c r="AT259" s="2"/>
      <c r="AU259" s="2"/>
      <c r="AV259" s="2"/>
      <c r="AW259" s="2"/>
      <c r="AX259" s="2"/>
      <c r="AY259" s="2"/>
    </row>
    <row r="260" spans="1:51" ht="13" customHeight="1">
      <c r="A260" s="1066"/>
      <c r="B260" s="2"/>
      <c r="C260" s="2"/>
      <c r="D260" s="2" t="s">
        <v>1064</v>
      </c>
      <c r="E260" s="2"/>
      <c r="F260" s="2"/>
      <c r="G260" s="2"/>
      <c r="H260" s="2"/>
      <c r="I260" s="2"/>
      <c r="J260" s="2"/>
      <c r="K260" s="2"/>
      <c r="L260" s="2"/>
      <c r="M260" s="1471"/>
      <c r="N260" s="1471"/>
      <c r="O260" s="1471"/>
      <c r="P260" s="1471"/>
      <c r="Q260" s="1471"/>
      <c r="R260" s="1471"/>
      <c r="S260" s="1471"/>
      <c r="T260" s="1471"/>
      <c r="U260" s="1471"/>
      <c r="V260" s="1471"/>
      <c r="W260" s="1471"/>
      <c r="X260" s="1471"/>
      <c r="Y260" s="1471"/>
      <c r="Z260" s="1471"/>
      <c r="AA260" s="1471"/>
      <c r="AB260" s="1471"/>
      <c r="AC260" s="1471"/>
      <c r="AD260" s="1471"/>
      <c r="AE260" s="1471"/>
      <c r="AF260" s="2" t="s">
        <v>1087</v>
      </c>
      <c r="AL260" s="2"/>
      <c r="AM260" s="2"/>
      <c r="AN260" s="2"/>
      <c r="AO260" s="2"/>
      <c r="AP260" s="2"/>
      <c r="AQ260" s="2"/>
      <c r="AR260" s="2"/>
      <c r="AS260" s="2"/>
      <c r="AT260" s="2"/>
      <c r="AU260" s="2"/>
      <c r="AV260" s="2"/>
      <c r="AW260" s="2"/>
      <c r="AX260" s="2"/>
      <c r="AY260" s="2"/>
    </row>
    <row r="261" spans="1:51" ht="13" customHeight="1">
      <c r="A261" s="1066"/>
      <c r="B261" s="2"/>
      <c r="C261" s="2"/>
      <c r="D261" s="2" t="s">
        <v>932</v>
      </c>
      <c r="E261" s="2"/>
      <c r="M261" s="1471"/>
      <c r="N261" s="1471"/>
      <c r="O261" s="1471"/>
      <c r="P261" s="1471"/>
      <c r="Q261" s="1471"/>
      <c r="R261" s="1471"/>
      <c r="S261" s="1471"/>
      <c r="T261" s="1471"/>
      <c r="V261" s="815" t="s">
        <v>1066</v>
      </c>
      <c r="W261" s="1370"/>
      <c r="X261" s="1370"/>
      <c r="Y261" s="2" t="s">
        <v>937</v>
      </c>
      <c r="AC261" s="1471"/>
      <c r="AD261" s="1471"/>
      <c r="AE261" s="1471"/>
      <c r="AF261" s="2" t="s">
        <v>1089</v>
      </c>
      <c r="AL261" s="2"/>
      <c r="AM261" s="2"/>
      <c r="AN261" s="2"/>
      <c r="AO261" s="2"/>
      <c r="AP261" s="2"/>
      <c r="AQ261" s="2"/>
      <c r="AR261" s="2"/>
      <c r="AS261" s="2"/>
      <c r="AT261" s="2"/>
      <c r="AU261" s="2"/>
      <c r="AV261" s="2"/>
      <c r="AW261" s="2"/>
      <c r="AX261" s="2"/>
      <c r="AY261" s="2"/>
    </row>
    <row r="262" spans="1:51" ht="13" customHeight="1">
      <c r="A262" s="1066"/>
      <c r="B262" s="2"/>
      <c r="C262" s="2"/>
      <c r="D262" s="2" t="s">
        <v>1068</v>
      </c>
      <c r="E262" s="2"/>
      <c r="F262" s="2"/>
      <c r="G262" s="2"/>
      <c r="H262" s="2"/>
      <c r="I262" s="2"/>
      <c r="J262" s="2"/>
      <c r="K262" s="2"/>
      <c r="L262" s="1153"/>
      <c r="M262" s="1471"/>
      <c r="N262" s="1471"/>
      <c r="O262" s="1471"/>
      <c r="P262" s="1471"/>
      <c r="Q262" s="1471"/>
      <c r="R262" s="1471"/>
      <c r="S262" s="1471"/>
      <c r="T262" s="1471"/>
      <c r="U262" s="1471"/>
      <c r="V262" s="1471"/>
      <c r="W262" s="1471"/>
      <c r="X262" s="1471"/>
      <c r="Y262" s="1471"/>
      <c r="Z262" s="1471"/>
      <c r="AA262" s="1471"/>
      <c r="AB262" s="1471"/>
      <c r="AC262" s="1471"/>
      <c r="AD262" s="1471"/>
      <c r="AE262" s="1471"/>
      <c r="AH262" s="1480"/>
      <c r="AI262" s="1480"/>
      <c r="AJ262" s="1480"/>
      <c r="AK262" s="1480"/>
      <c r="AL262" s="2"/>
      <c r="AM262" s="2"/>
      <c r="AN262" s="2"/>
      <c r="AO262" s="2"/>
      <c r="AP262" s="2"/>
      <c r="AQ262" s="2"/>
      <c r="AR262" s="2"/>
      <c r="AS262" s="2"/>
      <c r="AT262" s="2"/>
      <c r="AU262" s="2"/>
      <c r="AV262" s="2"/>
      <c r="AW262" s="2"/>
      <c r="AX262" s="2"/>
      <c r="AY262" s="2"/>
    </row>
    <row r="263" spans="1:51" ht="13" customHeight="1">
      <c r="A263" s="1066"/>
      <c r="B263" s="2"/>
      <c r="C263" s="2"/>
      <c r="D263" s="2" t="s">
        <v>1070</v>
      </c>
      <c r="E263" s="2"/>
      <c r="F263" s="2"/>
      <c r="M263" s="1421"/>
      <c r="N263" s="1421"/>
      <c r="O263" s="1421"/>
      <c r="P263" s="1421"/>
      <c r="Q263" s="1421"/>
      <c r="R263" s="1421"/>
      <c r="S263" s="2" t="s">
        <v>1072</v>
      </c>
      <c r="T263" s="2"/>
      <c r="U263" s="1370"/>
      <c r="V263" s="1370"/>
      <c r="W263" s="1370"/>
      <c r="X263" s="2" t="s">
        <v>1073</v>
      </c>
      <c r="Z263" s="1421"/>
      <c r="AA263" s="1421"/>
      <c r="AB263" s="1421"/>
      <c r="AC263" s="1421"/>
      <c r="AD263" s="1421"/>
      <c r="AE263" s="1421"/>
      <c r="AL263" s="2"/>
      <c r="AM263" s="2"/>
      <c r="AN263" s="2"/>
      <c r="AO263" s="2"/>
      <c r="AP263" s="2"/>
      <c r="AQ263" s="2"/>
      <c r="AR263" s="2"/>
      <c r="AS263" s="2"/>
      <c r="AT263" s="2"/>
      <c r="AU263" s="2"/>
      <c r="AV263" s="2"/>
      <c r="AW263" s="2"/>
      <c r="AX263" s="2"/>
      <c r="AY263" s="2"/>
    </row>
    <row r="264" spans="1:51" ht="13" customHeight="1">
      <c r="A264" s="1066"/>
      <c r="B264" s="2"/>
      <c r="C264" s="2"/>
      <c r="D264" s="2" t="s">
        <v>1075</v>
      </c>
      <c r="E264" s="2"/>
      <c r="F264" s="2"/>
      <c r="M264" s="1490"/>
      <c r="N264" s="1490"/>
      <c r="O264" s="1490"/>
      <c r="P264" s="1490"/>
      <c r="Q264" s="1490"/>
      <c r="R264" s="1490"/>
      <c r="S264" s="1490"/>
      <c r="T264" s="1490"/>
      <c r="U264" s="1490"/>
      <c r="V264" s="1490"/>
      <c r="W264" s="1490"/>
      <c r="X264" s="1490"/>
      <c r="Y264" s="1490"/>
      <c r="Z264" s="1490"/>
      <c r="AA264" s="1516"/>
      <c r="AB264" s="1516"/>
      <c r="AC264" s="1516"/>
      <c r="AD264" s="1516"/>
      <c r="AE264" s="1516"/>
      <c r="AG264" s="2"/>
      <c r="AH264" s="2"/>
      <c r="AI264" s="2"/>
      <c r="AJ264" s="2"/>
      <c r="AK264" s="2"/>
      <c r="AL264" s="2"/>
      <c r="AM264" s="2"/>
      <c r="AN264" s="2"/>
      <c r="AO264" s="2"/>
      <c r="AP264" s="2"/>
      <c r="AQ264" s="2"/>
      <c r="AR264" s="2"/>
      <c r="AS264" s="2"/>
      <c r="AT264" s="2"/>
      <c r="AU264" s="2"/>
      <c r="AV264" s="2"/>
      <c r="AW264" s="2"/>
      <c r="AX264" s="2"/>
      <c r="AY264" s="2"/>
    </row>
    <row r="265" spans="1:51" ht="13" customHeight="1">
      <c r="A265" s="1066"/>
      <c r="B265" s="2"/>
      <c r="C265" s="37"/>
      <c r="D265" s="2" t="s">
        <v>1093</v>
      </c>
      <c r="E265" s="2"/>
      <c r="F265" s="2"/>
      <c r="G265" s="2"/>
      <c r="H265" s="2"/>
      <c r="I265" s="2"/>
      <c r="J265" s="2"/>
      <c r="K265" s="2"/>
      <c r="L265" s="2"/>
      <c r="M265" s="1322" t="s">
        <v>478</v>
      </c>
      <c r="N265" s="1322"/>
      <c r="O265" s="1322"/>
      <c r="P265" s="1322"/>
      <c r="Q265" s="1322"/>
      <c r="R265" s="1322"/>
      <c r="S265" s="1322"/>
      <c r="T265" s="1322"/>
      <c r="U265" s="113" t="s">
        <v>1078</v>
      </c>
      <c r="V265" s="113"/>
      <c r="W265" s="113"/>
      <c r="X265" s="113"/>
      <c r="Y265" s="113"/>
      <c r="Z265" s="113"/>
      <c r="AA265" s="1493"/>
      <c r="AB265" s="1493"/>
      <c r="AC265" s="1493"/>
      <c r="AD265" s="1493"/>
      <c r="AE265" s="1493"/>
      <c r="AF265" s="1493"/>
      <c r="AG265" s="1493"/>
      <c r="AH265" s="1493"/>
      <c r="AI265" s="1493"/>
      <c r="AJ265" s="1493"/>
      <c r="AK265" s="1493"/>
      <c r="AL265" s="2"/>
      <c r="AM265" s="2"/>
      <c r="AN265" s="2"/>
      <c r="AO265" s="2"/>
      <c r="AP265" s="2"/>
      <c r="AQ265" s="2"/>
      <c r="AR265" s="2"/>
      <c r="AS265" s="2"/>
      <c r="AT265" s="2"/>
    </row>
    <row r="266" spans="1:51" ht="13" customHeight="1">
      <c r="A266" s="1153"/>
      <c r="B266" s="2"/>
      <c r="C266" s="2"/>
      <c r="D266" s="2"/>
      <c r="E266" s="2"/>
      <c r="F266" s="2"/>
      <c r="J266" s="95"/>
      <c r="K266" s="68"/>
      <c r="L266" s="68"/>
      <c r="M266" s="68"/>
      <c r="N266" s="68"/>
      <c r="O266" s="68"/>
      <c r="P266" s="68"/>
      <c r="Q266" s="68"/>
      <c r="R266" s="68"/>
      <c r="S266" s="68"/>
      <c r="T266" s="68"/>
      <c r="U266" s="68"/>
      <c r="V266" s="68"/>
      <c r="W266" s="68"/>
      <c r="X266" s="68"/>
      <c r="Y266" s="68"/>
      <c r="AD266" s="32"/>
      <c r="AE266" s="32"/>
    </row>
    <row r="267" spans="1:51" ht="13" customHeight="1">
      <c r="A267" s="38" t="s">
        <v>1022</v>
      </c>
      <c r="B267" s="2"/>
      <c r="C267" s="1" t="s">
        <v>1104</v>
      </c>
      <c r="D267" s="2"/>
      <c r="E267" s="2"/>
      <c r="F267" s="2"/>
      <c r="G267" s="2"/>
      <c r="H267" s="2"/>
      <c r="I267" s="2"/>
      <c r="J267" s="2"/>
      <c r="K267" s="2"/>
      <c r="L267" s="2"/>
      <c r="M267" s="68"/>
      <c r="N267" s="68"/>
      <c r="O267" s="68"/>
      <c r="P267" s="68"/>
      <c r="Q267" s="68"/>
      <c r="T267" s="1488" t="str">
        <f>IFERROR(BO245,"")</f>
        <v>Nonprofit</v>
      </c>
      <c r="U267" s="1488"/>
      <c r="V267" s="1488"/>
      <c r="W267" s="1488"/>
      <c r="X267" s="1488"/>
      <c r="Z267" s="189" t="s">
        <v>1105</v>
      </c>
      <c r="AA267" s="190"/>
      <c r="AB267" s="190"/>
      <c r="AC267" s="190"/>
      <c r="AD267" s="191"/>
      <c r="AE267" s="191"/>
      <c r="AF267" s="191"/>
      <c r="AG267" s="191"/>
      <c r="AH267" s="191"/>
      <c r="AI267" s="191"/>
      <c r="AJ267" s="191"/>
      <c r="AK267" s="191"/>
      <c r="AL267" s="39"/>
    </row>
    <row r="268" spans="1:51" ht="13" customHeight="1">
      <c r="A268" s="1"/>
      <c r="B268" s="2"/>
      <c r="C268" s="1"/>
      <c r="I268" s="2"/>
      <c r="J268" s="2"/>
      <c r="K268" s="2"/>
      <c r="L268" s="2"/>
      <c r="M268" s="68"/>
      <c r="N268" s="68"/>
      <c r="O268" s="68"/>
      <c r="P268" s="68"/>
      <c r="Q268" s="68"/>
      <c r="T268" s="2"/>
      <c r="U268" s="2"/>
      <c r="V268" s="2"/>
      <c r="W268" s="68"/>
      <c r="Z268" s="192" t="s">
        <v>1106</v>
      </c>
      <c r="AF268" s="2"/>
      <c r="AG268" s="2"/>
      <c r="AH268" s="2"/>
      <c r="AI268" s="2"/>
      <c r="AJ268" s="2"/>
      <c r="AL268" s="42"/>
    </row>
    <row r="269" spans="1:51" ht="13" customHeight="1">
      <c r="A269" s="1" t="s">
        <v>1048</v>
      </c>
      <c r="B269" s="2"/>
      <c r="C269" s="1" t="s">
        <v>124</v>
      </c>
      <c r="D269" s="2"/>
      <c r="E269" s="2"/>
      <c r="F269" s="2"/>
      <c r="G269" s="2"/>
      <c r="H269" s="2"/>
      <c r="I269" s="2"/>
      <c r="J269" s="2"/>
      <c r="K269" s="2"/>
      <c r="L269" s="2"/>
      <c r="M269" s="2"/>
      <c r="N269" s="2"/>
      <c r="O269" s="2"/>
      <c r="P269" s="2"/>
      <c r="Q269" s="2"/>
      <c r="R269" s="2"/>
      <c r="S269" s="2"/>
      <c r="T269" s="2"/>
      <c r="U269" s="2"/>
      <c r="V269" s="2"/>
      <c r="W269" s="2"/>
      <c r="Z269" s="193" t="s">
        <v>1107</v>
      </c>
      <c r="AA269" s="32"/>
      <c r="AB269" s="32"/>
      <c r="AC269" s="32"/>
      <c r="AD269" s="32"/>
      <c r="AE269" s="32"/>
      <c r="AF269" s="708"/>
      <c r="AG269" s="708"/>
      <c r="AH269" s="708"/>
      <c r="AI269" s="708"/>
      <c r="AJ269" s="708"/>
      <c r="AK269" s="32"/>
      <c r="AL269" s="33"/>
    </row>
    <row r="270" spans="1:51" ht="13" customHeight="1">
      <c r="A270" s="2"/>
      <c r="B270" s="26">
        <v>0</v>
      </c>
      <c r="D270" s="1471" t="s">
        <v>1090</v>
      </c>
      <c r="E270" s="1471"/>
      <c r="F270" s="1471"/>
      <c r="G270" s="1471"/>
      <c r="H270" s="1471"/>
      <c r="J270" t="s">
        <v>1108</v>
      </c>
      <c r="X270" s="1429">
        <v>45110</v>
      </c>
      <c r="Y270" s="1429"/>
      <c r="Z270" s="1429"/>
      <c r="AA270" s="1429"/>
      <c r="AB270" s="1429"/>
      <c r="AC270" s="1429"/>
      <c r="AU270" s="2"/>
      <c r="AV270" s="2"/>
      <c r="AW270" s="2"/>
      <c r="AX270" s="2"/>
      <c r="AY270" s="2"/>
    </row>
    <row r="271" spans="1:51" ht="13" customHeight="1">
      <c r="A271" s="2"/>
      <c r="B271" s="1153"/>
      <c r="D271" s="27" t="s">
        <v>1109</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068"/>
      <c r="AA272" s="1068"/>
      <c r="AB272" s="1068"/>
      <c r="AC272" s="1068"/>
      <c r="AD272" s="1068"/>
      <c r="AE272" s="2"/>
      <c r="AK272" s="2"/>
      <c r="AL272" s="2"/>
      <c r="AM272" s="2"/>
      <c r="AN272" s="2"/>
      <c r="AO272" s="2"/>
      <c r="AP272" s="2"/>
      <c r="AQ272" s="2"/>
      <c r="AR272" s="2"/>
      <c r="AS272" s="2"/>
      <c r="AT272" s="2"/>
    </row>
    <row r="273" spans="1:51" ht="13" customHeight="1">
      <c r="A273" s="1" t="s">
        <v>1110</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3" customHeight="1">
      <c r="D274" s="2" t="s">
        <v>1111</v>
      </c>
      <c r="E274" s="2"/>
      <c r="F274" s="2"/>
      <c r="G274" s="2"/>
      <c r="H274" s="2"/>
      <c r="I274" s="2"/>
      <c r="J274" s="2"/>
      <c r="K274" s="2"/>
      <c r="L274" s="1489" t="s">
        <v>668</v>
      </c>
      <c r="M274" s="1489"/>
      <c r="N274" s="1489"/>
      <c r="O274" s="1489"/>
      <c r="P274" s="1489"/>
      <c r="Q274" s="1489"/>
      <c r="R274" s="1489"/>
      <c r="S274" s="1489"/>
      <c r="T274" s="1489"/>
      <c r="U274" s="1489"/>
      <c r="V274" s="1489"/>
      <c r="W274" s="1489"/>
      <c r="X274" s="1489"/>
      <c r="Y274" s="1489"/>
      <c r="Z274" s="1489"/>
      <c r="AA274" s="1489"/>
      <c r="AB274" s="1489"/>
      <c r="AC274" s="1489"/>
      <c r="AD274" s="1489"/>
      <c r="AE274" s="1489"/>
      <c r="AF274" s="1489"/>
      <c r="AG274" s="1489"/>
      <c r="AH274" s="1489"/>
      <c r="AI274" s="1489"/>
      <c r="AJ274" s="1489"/>
      <c r="AK274" s="2"/>
      <c r="AL274" s="2"/>
      <c r="AM274" s="2"/>
      <c r="AN274" s="2"/>
      <c r="AO274" s="2"/>
      <c r="AP274" s="2"/>
      <c r="AQ274" s="2"/>
      <c r="AR274" s="2"/>
      <c r="AS274" s="2"/>
      <c r="AT274" s="2"/>
      <c r="AU274" s="2"/>
      <c r="AV274" s="2"/>
      <c r="AW274" s="2"/>
      <c r="AX274" s="2"/>
      <c r="AY274" s="2"/>
    </row>
    <row r="275" spans="1:51" ht="13" customHeight="1">
      <c r="D275" s="2" t="s">
        <v>1064</v>
      </c>
      <c r="E275" s="2"/>
      <c r="F275" s="2"/>
      <c r="G275" s="2"/>
      <c r="H275" s="2"/>
      <c r="I275" s="2"/>
      <c r="J275" s="2"/>
      <c r="K275" s="2"/>
      <c r="L275" s="1471" t="s">
        <v>1112</v>
      </c>
      <c r="M275" s="1471"/>
      <c r="N275" s="1471"/>
      <c r="O275" s="1471"/>
      <c r="P275" s="1471"/>
      <c r="Q275" s="1471"/>
      <c r="R275" s="1471"/>
      <c r="S275" s="1471"/>
      <c r="T275" s="1471"/>
      <c r="U275" s="1471"/>
      <c r="V275" s="1471"/>
      <c r="W275" s="1471"/>
      <c r="X275" s="1471"/>
      <c r="Y275" s="1471"/>
      <c r="Z275" s="1471"/>
      <c r="AA275" s="1471"/>
      <c r="AB275" s="1471"/>
      <c r="AC275" s="1471"/>
      <c r="AD275" s="1471"/>
      <c r="AK275" s="2"/>
      <c r="AL275" s="2"/>
      <c r="AM275" s="2"/>
      <c r="AN275" s="2"/>
      <c r="AO275" s="2"/>
      <c r="AP275" s="2"/>
      <c r="AQ275" s="2"/>
      <c r="AR275" s="2"/>
      <c r="AS275" s="2"/>
      <c r="AT275" s="2"/>
      <c r="AU275" s="2"/>
      <c r="AV275" s="2"/>
      <c r="AW275" s="2"/>
      <c r="AX275" s="2"/>
      <c r="AY275" s="2"/>
    </row>
    <row r="276" spans="1:51" ht="13" customHeight="1">
      <c r="D276" s="2" t="s">
        <v>932</v>
      </c>
      <c r="E276" s="2"/>
      <c r="L276" s="1471" t="s">
        <v>788</v>
      </c>
      <c r="M276" s="1471"/>
      <c r="N276" s="1471"/>
      <c r="O276" s="1471"/>
      <c r="P276" s="1471"/>
      <c r="Q276" s="1471"/>
      <c r="R276" s="1471"/>
      <c r="S276" s="1471"/>
      <c r="U276" s="815" t="s">
        <v>1066</v>
      </c>
      <c r="V276" s="1370" t="s">
        <v>1067</v>
      </c>
      <c r="W276" s="1370"/>
      <c r="X276" s="2" t="s">
        <v>937</v>
      </c>
      <c r="AB276" s="1471">
        <v>93291</v>
      </c>
      <c r="AC276" s="1471"/>
      <c r="AD276" s="1471"/>
      <c r="AK276" s="2"/>
      <c r="AL276" s="2"/>
      <c r="AM276" s="2"/>
      <c r="AN276" s="2"/>
      <c r="AO276" s="2"/>
      <c r="AP276" s="2"/>
      <c r="AQ276" s="2"/>
      <c r="AR276" s="2"/>
      <c r="AS276" s="2"/>
      <c r="AT276" s="2"/>
      <c r="AU276" s="2"/>
      <c r="AV276" s="2"/>
      <c r="AW276" s="2"/>
      <c r="AX276" s="2"/>
      <c r="AY276" s="2"/>
    </row>
    <row r="277" spans="1:51" ht="13" customHeight="1">
      <c r="D277" s="2" t="s">
        <v>1068</v>
      </c>
      <c r="E277" s="2"/>
      <c r="F277" s="2"/>
      <c r="G277" s="2"/>
      <c r="H277" s="2"/>
      <c r="I277" s="2"/>
      <c r="J277" s="2"/>
      <c r="K277" s="1153"/>
      <c r="L277" s="1471" t="s">
        <v>1113</v>
      </c>
      <c r="M277" s="1471"/>
      <c r="N277" s="1471"/>
      <c r="O277" s="1471"/>
      <c r="P277" s="1471"/>
      <c r="Q277" s="1471"/>
      <c r="R277" s="1471"/>
      <c r="S277" s="1471"/>
      <c r="T277" s="1471"/>
      <c r="U277" s="1471"/>
      <c r="V277" s="1471"/>
      <c r="W277" s="1471"/>
      <c r="X277" s="1471"/>
      <c r="Y277" s="1471"/>
      <c r="Z277" s="1471"/>
      <c r="AA277" s="1471"/>
      <c r="AB277" s="1471"/>
      <c r="AC277" s="1471"/>
      <c r="AD277" s="1471"/>
      <c r="AI277" s="2"/>
      <c r="AJ277" s="2"/>
      <c r="AK277" s="2"/>
      <c r="AL277" s="2"/>
      <c r="AM277" s="2"/>
      <c r="AN277" s="2"/>
      <c r="AO277" s="2"/>
      <c r="AP277" s="2"/>
      <c r="AQ277" s="2"/>
      <c r="AR277" s="2"/>
      <c r="AS277" s="2"/>
      <c r="AT277" s="2"/>
    </row>
    <row r="278" spans="1:51" ht="13" customHeight="1">
      <c r="D278" s="2" t="s">
        <v>1070</v>
      </c>
      <c r="E278" s="2"/>
      <c r="F278" s="2"/>
      <c r="L278" s="1421" t="s">
        <v>1071</v>
      </c>
      <c r="M278" s="1421"/>
      <c r="N278" s="1421"/>
      <c r="O278" s="1421"/>
      <c r="P278" s="1421"/>
      <c r="Q278" s="1421"/>
      <c r="R278" s="2" t="s">
        <v>1072</v>
      </c>
      <c r="S278" s="2"/>
      <c r="T278" s="1370"/>
      <c r="U278" s="1370"/>
      <c r="V278" s="1370"/>
      <c r="W278" s="2" t="s">
        <v>1073</v>
      </c>
      <c r="Y278" s="1421"/>
      <c r="Z278" s="1421"/>
      <c r="AA278" s="1421"/>
      <c r="AB278" s="1421"/>
      <c r="AC278" s="1421"/>
      <c r="AD278" s="1421"/>
    </row>
    <row r="279" spans="1:51" ht="13" customHeight="1">
      <c r="D279" s="2" t="s">
        <v>1075</v>
      </c>
      <c r="E279" s="2"/>
      <c r="F279" s="2"/>
      <c r="L279" s="1490" t="s">
        <v>1076</v>
      </c>
      <c r="M279" s="1490"/>
      <c r="N279" s="1490"/>
      <c r="O279" s="1490"/>
      <c r="P279" s="1490"/>
      <c r="Q279" s="1490"/>
      <c r="R279" s="1490"/>
      <c r="S279" s="1490"/>
      <c r="T279" s="1490"/>
      <c r="U279" s="1490"/>
      <c r="V279" s="1490"/>
      <c r="W279" s="1490"/>
      <c r="X279" s="1490"/>
      <c r="Y279" s="1490"/>
      <c r="Z279" s="1490"/>
      <c r="AA279" s="1490"/>
      <c r="AB279" s="1490"/>
      <c r="AC279" s="1490"/>
      <c r="AD279" s="1490"/>
      <c r="AF279" s="2"/>
      <c r="AG279" s="2"/>
      <c r="AH279" s="2"/>
      <c r="AI279" s="2"/>
      <c r="AJ279" s="2"/>
      <c r="AU279" s="2"/>
      <c r="AV279" s="2"/>
      <c r="AW279" s="2"/>
      <c r="AX279" s="2"/>
      <c r="AY279" s="2"/>
    </row>
    <row r="280" spans="1:51" ht="13" customHeight="1">
      <c r="D280" s="2" t="s">
        <v>1114</v>
      </c>
      <c r="E280" s="2"/>
      <c r="F280" s="2"/>
      <c r="G280" s="2"/>
      <c r="H280" s="2"/>
      <c r="I280" s="2"/>
      <c r="L280" s="1370" t="s">
        <v>1115</v>
      </c>
      <c r="M280" s="1370"/>
      <c r="N280" s="1370"/>
      <c r="O280" s="1370"/>
      <c r="P280" s="1370"/>
      <c r="Q280" s="1370"/>
      <c r="R280" s="1370"/>
      <c r="S280" s="1370"/>
      <c r="T280" s="1370"/>
      <c r="U280" s="1370"/>
      <c r="V280" s="1370"/>
      <c r="W280" s="1370"/>
      <c r="X280" s="1370"/>
      <c r="Y280" s="1370"/>
      <c r="Z280" s="1370"/>
      <c r="AA280" s="1370"/>
      <c r="AB280" s="1370"/>
      <c r="AC280" s="1370"/>
      <c r="AD280" s="1370"/>
      <c r="AK280" s="2"/>
      <c r="AL280" s="2"/>
      <c r="AM280" s="2"/>
      <c r="AN280" s="2"/>
      <c r="AO280" s="2"/>
      <c r="AP280" s="2"/>
      <c r="AQ280" s="2"/>
      <c r="AR280" s="2"/>
      <c r="AS280" s="2"/>
      <c r="AT280" s="2"/>
    </row>
    <row r="281" spans="1:51" ht="13" customHeight="1">
      <c r="L281" s="17" t="s">
        <v>1116</v>
      </c>
      <c r="AU281" s="54"/>
      <c r="AV281" s="54"/>
      <c r="AW281" s="54"/>
      <c r="AX281" s="54"/>
      <c r="AY281" s="54"/>
    </row>
    <row r="282" spans="1:51" ht="13" customHeight="1">
      <c r="A282" s="1486" t="s">
        <v>1117</v>
      </c>
      <c r="B282" s="1486"/>
      <c r="C282" s="1486"/>
      <c r="D282" s="1486"/>
      <c r="E282" s="1486"/>
      <c r="F282" s="1486"/>
      <c r="G282" s="1486"/>
      <c r="H282" s="1486"/>
      <c r="I282" s="1486"/>
      <c r="J282" s="1486"/>
      <c r="K282" s="1486"/>
      <c r="L282" s="1486"/>
      <c r="M282" s="1486"/>
      <c r="N282" s="1486"/>
      <c r="O282" s="1486"/>
      <c r="P282" s="1486"/>
      <c r="Q282" s="1486"/>
      <c r="R282" s="1486"/>
      <c r="S282" s="1486"/>
      <c r="T282" s="1486"/>
      <c r="U282" s="1486"/>
      <c r="V282" s="1486"/>
      <c r="W282" s="1486"/>
      <c r="X282" s="1486"/>
      <c r="Y282" s="1486"/>
      <c r="Z282" s="1486"/>
      <c r="AA282" s="1486"/>
      <c r="AB282" s="1486"/>
      <c r="AC282" s="1486"/>
      <c r="AD282" s="1486"/>
      <c r="AE282" s="1486"/>
      <c r="AF282" s="1486"/>
      <c r="AG282" s="1486"/>
      <c r="AH282" s="1486"/>
      <c r="AI282" s="1486"/>
      <c r="AJ282" s="1486"/>
      <c r="AK282" s="1486"/>
      <c r="AL282" s="1486"/>
      <c r="AM282" s="1486"/>
      <c r="AN282" s="1486"/>
      <c r="AO282" s="1486"/>
      <c r="AP282" s="1486"/>
      <c r="AQ282" s="1486"/>
      <c r="AR282" s="1486"/>
      <c r="AS282" s="1486"/>
      <c r="AT282" s="1486"/>
      <c r="AU282" s="54"/>
      <c r="AV282" s="54"/>
      <c r="AW282" s="54"/>
      <c r="AX282" s="54"/>
      <c r="AY282" s="54"/>
    </row>
    <row r="283" spans="1:51" ht="13" customHeight="1">
      <c r="A283" s="1486"/>
      <c r="B283" s="1486"/>
      <c r="C283" s="1486"/>
      <c r="D283" s="1486"/>
      <c r="E283" s="1486"/>
      <c r="F283" s="1486"/>
      <c r="G283" s="1486"/>
      <c r="H283" s="1486"/>
      <c r="I283" s="1486"/>
      <c r="J283" s="1486"/>
      <c r="K283" s="1486"/>
      <c r="L283" s="1486"/>
      <c r="M283" s="1486"/>
      <c r="N283" s="1486"/>
      <c r="O283" s="1486"/>
      <c r="P283" s="1486"/>
      <c r="Q283" s="1486"/>
      <c r="R283" s="1486"/>
      <c r="S283" s="1486"/>
      <c r="T283" s="1486"/>
      <c r="U283" s="1486"/>
      <c r="V283" s="1486"/>
      <c r="W283" s="1486"/>
      <c r="X283" s="1486"/>
      <c r="Y283" s="1486"/>
      <c r="Z283" s="1486"/>
      <c r="AA283" s="1486"/>
      <c r="AB283" s="1486"/>
      <c r="AC283" s="1486"/>
      <c r="AD283" s="1486"/>
      <c r="AE283" s="1486"/>
      <c r="AF283" s="1486"/>
      <c r="AG283" s="1486"/>
      <c r="AH283" s="1486"/>
      <c r="AI283" s="1486"/>
      <c r="AJ283" s="1486"/>
      <c r="AK283" s="1486"/>
      <c r="AL283" s="1486"/>
      <c r="AM283" s="1486"/>
      <c r="AN283" s="1486"/>
      <c r="AO283" s="1486"/>
      <c r="AP283" s="1486"/>
      <c r="AQ283" s="1486"/>
      <c r="AR283" s="1486"/>
      <c r="AS283" s="1486"/>
      <c r="AT283" s="1486"/>
      <c r="AU283" s="19"/>
      <c r="AV283" s="19"/>
      <c r="AW283" s="19"/>
      <c r="AX283" s="19"/>
      <c r="AY283" s="19"/>
    </row>
    <row r="284" spans="1:51" ht="13"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3" customHeight="1">
      <c r="A285" s="1" t="s">
        <v>872</v>
      </c>
      <c r="C285" s="1" t="s">
        <v>1118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3" customHeight="1">
      <c r="B287" s="2" t="s">
        <v>1119</v>
      </c>
      <c r="C287" s="2"/>
      <c r="D287" s="2"/>
      <c r="E287" s="2"/>
      <c r="F287" s="2"/>
      <c r="H287" s="1369" t="s">
        <v>668</v>
      </c>
      <c r="I287" s="1369"/>
      <c r="J287" s="1369"/>
      <c r="K287" s="1369"/>
      <c r="L287" s="1369"/>
      <c r="M287" s="1369"/>
      <c r="N287" s="1369"/>
      <c r="O287" s="1369"/>
      <c r="P287" s="1369"/>
      <c r="Q287" s="1369"/>
      <c r="R287" s="1369"/>
      <c r="T287" s="2" t="s">
        <v>1120</v>
      </c>
      <c r="V287" s="2"/>
      <c r="W287" s="2"/>
      <c r="X287" s="2"/>
      <c r="Y287" s="2"/>
      <c r="AA287" s="1369" t="s">
        <v>1121</v>
      </c>
      <c r="AB287" s="1369"/>
      <c r="AC287" s="1369"/>
      <c r="AD287" s="1369"/>
      <c r="AE287" s="1369"/>
      <c r="AF287" s="1369"/>
      <c r="AG287" s="1369"/>
      <c r="AH287" s="1369"/>
      <c r="AI287" s="1369"/>
      <c r="AJ287" s="1369"/>
      <c r="AK287" s="1369"/>
    </row>
    <row r="288" spans="1:51" ht="13" customHeight="1">
      <c r="B288" s="2" t="s">
        <v>1122</v>
      </c>
      <c r="C288" s="2"/>
      <c r="D288" s="2"/>
      <c r="E288" s="2"/>
      <c r="F288" s="2"/>
      <c r="H288" s="1322" t="s">
        <v>1112</v>
      </c>
      <c r="I288" s="1322"/>
      <c r="J288" s="1322"/>
      <c r="K288" s="1322"/>
      <c r="L288" s="1322"/>
      <c r="M288" s="1322"/>
      <c r="N288" s="1322"/>
      <c r="O288" s="1322"/>
      <c r="P288" s="1322"/>
      <c r="Q288" s="1322"/>
      <c r="R288" s="1322"/>
      <c r="T288" s="2" t="s">
        <v>1122</v>
      </c>
      <c r="V288" s="2"/>
      <c r="W288" s="2"/>
      <c r="X288" s="2"/>
      <c r="Y288" s="2"/>
      <c r="AA288" s="1322" t="s">
        <v>1123</v>
      </c>
      <c r="AB288" s="1322"/>
      <c r="AC288" s="1322"/>
      <c r="AD288" s="1322"/>
      <c r="AE288" s="1322"/>
      <c r="AF288" s="1322"/>
      <c r="AG288" s="1322"/>
      <c r="AH288" s="1322"/>
      <c r="AI288" s="1322"/>
      <c r="AJ288" s="1322"/>
      <c r="AK288" s="1322"/>
    </row>
    <row r="289" spans="2:37" ht="13" customHeight="1">
      <c r="B289" s="2" t="s">
        <v>1124</v>
      </c>
      <c r="C289" s="2"/>
      <c r="D289" s="2"/>
      <c r="E289" s="2"/>
      <c r="F289" s="2"/>
      <c r="H289" s="1322" t="s">
        <v>1125</v>
      </c>
      <c r="I289" s="1322"/>
      <c r="J289" s="1322"/>
      <c r="K289" s="1322"/>
      <c r="L289" s="1322"/>
      <c r="M289" s="1322"/>
      <c r="N289" s="1322"/>
      <c r="O289" s="1322"/>
      <c r="P289" s="1322"/>
      <c r="Q289" s="1322"/>
      <c r="R289" s="1322"/>
      <c r="T289" s="2" t="s">
        <v>1126</v>
      </c>
      <c r="V289" s="2"/>
      <c r="W289" s="2"/>
      <c r="X289" s="2"/>
      <c r="Y289" s="2"/>
      <c r="AA289" s="1322" t="s">
        <v>1127</v>
      </c>
      <c r="AB289" s="1322"/>
      <c r="AC289" s="1322"/>
      <c r="AD289" s="1322"/>
      <c r="AE289" s="1322"/>
      <c r="AF289" s="1322"/>
      <c r="AG289" s="1322"/>
      <c r="AH289" s="1322"/>
      <c r="AI289" s="1322"/>
      <c r="AJ289" s="1322"/>
      <c r="AK289" s="1322"/>
    </row>
    <row r="290" spans="2:37" ht="13" customHeight="1">
      <c r="B290" s="2" t="s">
        <v>1068</v>
      </c>
      <c r="C290" s="2"/>
      <c r="D290" s="2"/>
      <c r="E290" s="2"/>
      <c r="F290" s="2"/>
      <c r="H290" s="1322" t="s">
        <v>1069</v>
      </c>
      <c r="I290" s="1322"/>
      <c r="J290" s="1322"/>
      <c r="K290" s="1322"/>
      <c r="L290" s="1322"/>
      <c r="M290" s="1322"/>
      <c r="N290" s="1322"/>
      <c r="O290" s="1322"/>
      <c r="P290" s="1322"/>
      <c r="Q290" s="1322"/>
      <c r="R290" s="1322"/>
      <c r="T290" s="2" t="s">
        <v>1068</v>
      </c>
      <c r="V290" s="2"/>
      <c r="W290" s="2"/>
      <c r="X290" s="2"/>
      <c r="Y290" s="2"/>
      <c r="AA290" s="1322" t="s">
        <v>1128</v>
      </c>
      <c r="AB290" s="1322"/>
      <c r="AC290" s="1322"/>
      <c r="AD290" s="1322"/>
      <c r="AE290" s="1322"/>
      <c r="AF290" s="1322"/>
      <c r="AG290" s="1322"/>
      <c r="AH290" s="1322"/>
      <c r="AI290" s="1322"/>
      <c r="AJ290" s="1322"/>
      <c r="AK290" s="1322"/>
    </row>
    <row r="291" spans="2:37" ht="13" customHeight="1">
      <c r="B291" s="2" t="s">
        <v>1070</v>
      </c>
      <c r="C291" s="2"/>
      <c r="D291" s="2"/>
      <c r="E291" s="2"/>
      <c r="F291" s="2"/>
      <c r="G291" s="2"/>
      <c r="H291" s="1472" t="s">
        <v>1071</v>
      </c>
      <c r="I291" s="1472"/>
      <c r="J291" s="1472"/>
      <c r="K291" s="1472"/>
      <c r="L291" s="1472"/>
      <c r="M291" s="1472"/>
      <c r="N291" s="2" t="s">
        <v>1072</v>
      </c>
      <c r="O291" s="2"/>
      <c r="P291" s="1471"/>
      <c r="Q291" s="1471"/>
      <c r="R291" s="1471"/>
      <c r="S291" s="2"/>
      <c r="T291" s="2" t="s">
        <v>1070</v>
      </c>
      <c r="V291" s="2"/>
      <c r="W291" s="2"/>
      <c r="X291" s="2"/>
      <c r="Y291" s="2"/>
      <c r="AA291" s="1472" t="s">
        <v>1129</v>
      </c>
      <c r="AB291" s="1472"/>
      <c r="AC291" s="1472"/>
      <c r="AD291" s="1472"/>
      <c r="AE291" s="1472"/>
      <c r="AF291" s="1472"/>
      <c r="AG291" s="2" t="s">
        <v>1072</v>
      </c>
      <c r="AH291" s="2"/>
      <c r="AI291" s="1471"/>
      <c r="AJ291" s="1471"/>
      <c r="AK291" s="1471"/>
    </row>
    <row r="292" spans="2:37" ht="13" customHeight="1">
      <c r="B292" s="2" t="s">
        <v>1073</v>
      </c>
      <c r="C292" s="2"/>
      <c r="D292" s="2"/>
      <c r="E292" s="2"/>
      <c r="F292" s="2"/>
      <c r="G292" s="2"/>
      <c r="H292" s="1421" t="s">
        <v>1130</v>
      </c>
      <c r="I292" s="1421"/>
      <c r="J292" s="1421"/>
      <c r="K292" s="1421"/>
      <c r="L292" s="1421"/>
      <c r="M292" s="1421"/>
      <c r="N292" s="2"/>
      <c r="O292" s="2"/>
      <c r="P292" s="68"/>
      <c r="Q292" s="68"/>
      <c r="R292" s="68"/>
      <c r="S292" s="2"/>
      <c r="T292" s="2" t="s">
        <v>1073</v>
      </c>
      <c r="V292" s="2"/>
      <c r="W292" s="2"/>
      <c r="X292" s="2"/>
      <c r="Y292" s="2"/>
      <c r="AA292" s="1421"/>
      <c r="AB292" s="1421"/>
      <c r="AC292" s="1421"/>
      <c r="AD292" s="1421"/>
      <c r="AE292" s="1421"/>
      <c r="AF292" s="1421"/>
      <c r="AG292" s="2"/>
      <c r="AH292" s="2"/>
      <c r="AI292" s="68"/>
      <c r="AJ292" s="68"/>
      <c r="AK292" s="68"/>
    </row>
    <row r="293" spans="2:37" ht="13" customHeight="1">
      <c r="B293" s="2" t="s">
        <v>1131</v>
      </c>
      <c r="C293" s="2"/>
      <c r="D293" s="2"/>
      <c r="E293" s="2"/>
      <c r="F293" s="2"/>
      <c r="G293" s="2"/>
      <c r="H293" s="1322" t="s">
        <v>1076</v>
      </c>
      <c r="I293" s="1322"/>
      <c r="J293" s="1322"/>
      <c r="K293" s="1322"/>
      <c r="L293" s="1322"/>
      <c r="M293" s="1322"/>
      <c r="N293" s="1369"/>
      <c r="O293" s="1369"/>
      <c r="P293" s="1369"/>
      <c r="Q293" s="1369"/>
      <c r="R293" s="1369"/>
      <c r="S293" s="2"/>
      <c r="T293" s="2" t="s">
        <v>1131</v>
      </c>
      <c r="V293" s="2"/>
      <c r="W293" s="2"/>
      <c r="X293" s="2"/>
      <c r="Y293" s="2"/>
      <c r="AA293" s="1322" t="s">
        <v>1132</v>
      </c>
      <c r="AB293" s="1322"/>
      <c r="AC293" s="1322"/>
      <c r="AD293" s="1322"/>
      <c r="AE293" s="1322"/>
      <c r="AF293" s="1322"/>
      <c r="AG293" s="1369"/>
      <c r="AH293" s="1369"/>
      <c r="AI293" s="1369"/>
      <c r="AJ293" s="1369"/>
      <c r="AK293" s="1369"/>
    </row>
    <row r="294" spans="2:37"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3" customHeight="1">
      <c r="B295" s="2" t="s">
        <v>1133</v>
      </c>
      <c r="C295" s="2"/>
      <c r="D295" s="2"/>
      <c r="E295" s="2"/>
      <c r="F295" s="2"/>
      <c r="H295" s="1369" t="s">
        <v>1134</v>
      </c>
      <c r="I295" s="1369"/>
      <c r="J295" s="1369"/>
      <c r="K295" s="1369"/>
      <c r="L295" s="1369"/>
      <c r="M295" s="1369"/>
      <c r="N295" s="1369"/>
      <c r="O295" s="1369"/>
      <c r="P295" s="1369"/>
      <c r="Q295" s="1369"/>
      <c r="R295" s="1369"/>
      <c r="T295" s="2" t="s">
        <v>1135</v>
      </c>
      <c r="V295" s="2"/>
      <c r="W295" s="2"/>
      <c r="X295" s="2"/>
      <c r="Y295" s="2"/>
      <c r="AA295" s="1369" t="s">
        <v>1136</v>
      </c>
      <c r="AB295" s="1369"/>
      <c r="AC295" s="1369"/>
      <c r="AD295" s="1369"/>
      <c r="AE295" s="1369"/>
      <c r="AF295" s="1369"/>
      <c r="AG295" s="1369"/>
      <c r="AH295" s="1369"/>
      <c r="AI295" s="1369"/>
      <c r="AJ295" s="1369"/>
      <c r="AK295" s="1369"/>
    </row>
    <row r="296" spans="2:37" ht="13" customHeight="1">
      <c r="B296" s="2" t="s">
        <v>1122</v>
      </c>
      <c r="C296" s="2"/>
      <c r="D296" s="2"/>
      <c r="E296" s="2"/>
      <c r="F296" s="2"/>
      <c r="H296" s="1322" t="s">
        <v>1137</v>
      </c>
      <c r="I296" s="1322"/>
      <c r="J296" s="1322"/>
      <c r="K296" s="1322"/>
      <c r="L296" s="1322"/>
      <c r="M296" s="1322"/>
      <c r="N296" s="1322"/>
      <c r="O296" s="1322"/>
      <c r="P296" s="1322"/>
      <c r="Q296" s="1322"/>
      <c r="R296" s="1322"/>
      <c r="T296" s="2" t="s">
        <v>1122</v>
      </c>
      <c r="V296" s="2"/>
      <c r="W296" s="2"/>
      <c r="X296" s="2"/>
      <c r="Y296" s="2"/>
      <c r="AA296" s="1322"/>
      <c r="AB296" s="1322"/>
      <c r="AC296" s="1322"/>
      <c r="AD296" s="1322"/>
      <c r="AE296" s="1322"/>
      <c r="AF296" s="1322"/>
      <c r="AG296" s="1322"/>
      <c r="AH296" s="1322"/>
      <c r="AI296" s="1322"/>
      <c r="AJ296" s="1322"/>
      <c r="AK296" s="1322"/>
    </row>
    <row r="297" spans="2:37" ht="13" customHeight="1">
      <c r="B297" s="2" t="s">
        <v>1124</v>
      </c>
      <c r="C297" s="2"/>
      <c r="D297" s="2"/>
      <c r="E297" s="2"/>
      <c r="F297" s="2"/>
      <c r="H297" s="1322" t="s">
        <v>1138</v>
      </c>
      <c r="I297" s="1322"/>
      <c r="J297" s="1322"/>
      <c r="K297" s="1322"/>
      <c r="L297" s="1322"/>
      <c r="M297" s="1322"/>
      <c r="N297" s="1322"/>
      <c r="O297" s="1322"/>
      <c r="P297" s="1322"/>
      <c r="Q297" s="1322"/>
      <c r="R297" s="1322"/>
      <c r="T297" s="2" t="s">
        <v>1126</v>
      </c>
      <c r="V297" s="2"/>
      <c r="W297" s="2"/>
      <c r="X297" s="2"/>
      <c r="Y297" s="2"/>
      <c r="AA297" s="1322"/>
      <c r="AB297" s="1322"/>
      <c r="AC297" s="1322"/>
      <c r="AD297" s="1322"/>
      <c r="AE297" s="1322"/>
      <c r="AF297" s="1322"/>
      <c r="AG297" s="1322"/>
      <c r="AH297" s="1322"/>
      <c r="AI297" s="1322"/>
      <c r="AJ297" s="1322"/>
      <c r="AK297" s="1322"/>
    </row>
    <row r="298" spans="2:37" ht="13" customHeight="1">
      <c r="B298" s="2" t="s">
        <v>1068</v>
      </c>
      <c r="C298" s="2"/>
      <c r="D298" s="2"/>
      <c r="E298" s="2"/>
      <c r="F298" s="2"/>
      <c r="H298" s="1322" t="s">
        <v>1139</v>
      </c>
      <c r="I298" s="1322"/>
      <c r="J298" s="1322"/>
      <c r="K298" s="1322"/>
      <c r="L298" s="1322"/>
      <c r="M298" s="1322"/>
      <c r="N298" s="1322"/>
      <c r="O298" s="1322"/>
      <c r="P298" s="1322"/>
      <c r="Q298" s="1322"/>
      <c r="R298" s="1322"/>
      <c r="T298" s="2" t="s">
        <v>1068</v>
      </c>
      <c r="V298" s="2"/>
      <c r="W298" s="2"/>
      <c r="X298" s="2"/>
      <c r="Y298" s="2"/>
      <c r="AA298" s="1322"/>
      <c r="AB298" s="1322"/>
      <c r="AC298" s="1322"/>
      <c r="AD298" s="1322"/>
      <c r="AE298" s="1322"/>
      <c r="AF298" s="1322"/>
      <c r="AG298" s="1322"/>
      <c r="AH298" s="1322"/>
      <c r="AI298" s="1322"/>
      <c r="AJ298" s="1322"/>
      <c r="AK298" s="1322"/>
    </row>
    <row r="299" spans="2:37" ht="13" customHeight="1">
      <c r="B299" s="2" t="s">
        <v>1070</v>
      </c>
      <c r="C299" s="2"/>
      <c r="D299" s="2"/>
      <c r="E299" s="2"/>
      <c r="F299" s="2"/>
      <c r="G299" s="2"/>
      <c r="H299" s="1472" t="s">
        <v>1140</v>
      </c>
      <c r="I299" s="1472"/>
      <c r="J299" s="1472"/>
      <c r="K299" s="1472"/>
      <c r="L299" s="1472"/>
      <c r="M299" s="1472"/>
      <c r="N299" s="2" t="s">
        <v>1072</v>
      </c>
      <c r="O299" s="2"/>
      <c r="P299" s="1471"/>
      <c r="Q299" s="1471"/>
      <c r="R299" s="1471"/>
      <c r="S299" s="2"/>
      <c r="T299" s="2" t="s">
        <v>1070</v>
      </c>
      <c r="V299" s="2"/>
      <c r="W299" s="2"/>
      <c r="X299" s="2"/>
      <c r="Y299" s="2"/>
      <c r="AA299" s="1472"/>
      <c r="AB299" s="1472"/>
      <c r="AC299" s="1472"/>
      <c r="AD299" s="1472"/>
      <c r="AE299" s="1472"/>
      <c r="AF299" s="1472"/>
      <c r="AG299" s="2" t="s">
        <v>1072</v>
      </c>
      <c r="AH299" s="2"/>
      <c r="AI299" s="1471"/>
      <c r="AJ299" s="1471"/>
      <c r="AK299" s="1471"/>
    </row>
    <row r="300" spans="2:37" ht="13" customHeight="1">
      <c r="B300" s="2" t="s">
        <v>1073</v>
      </c>
      <c r="C300" s="2"/>
      <c r="D300" s="2"/>
      <c r="E300" s="2"/>
      <c r="F300" s="2"/>
      <c r="G300" s="2"/>
      <c r="H300" s="1421" t="s">
        <v>1141</v>
      </c>
      <c r="I300" s="1421"/>
      <c r="J300" s="1421"/>
      <c r="K300" s="1421"/>
      <c r="L300" s="1421"/>
      <c r="M300" s="1421"/>
      <c r="N300" s="2"/>
      <c r="O300" s="2"/>
      <c r="P300" s="68"/>
      <c r="Q300" s="68"/>
      <c r="R300" s="68"/>
      <c r="S300" s="2"/>
      <c r="T300" s="2" t="s">
        <v>1073</v>
      </c>
      <c r="V300" s="2"/>
      <c r="W300" s="2"/>
      <c r="X300" s="2"/>
      <c r="Y300" s="2"/>
      <c r="AA300" s="1421"/>
      <c r="AB300" s="1421"/>
      <c r="AC300" s="1421"/>
      <c r="AD300" s="1421"/>
      <c r="AE300" s="1421"/>
      <c r="AF300" s="1421"/>
      <c r="AG300" s="2"/>
      <c r="AH300" s="2"/>
      <c r="AI300" s="68"/>
      <c r="AJ300" s="68"/>
      <c r="AK300" s="68"/>
    </row>
    <row r="301" spans="2:37" ht="13" customHeight="1">
      <c r="B301" s="2" t="s">
        <v>1131</v>
      </c>
      <c r="C301" s="2"/>
      <c r="D301" s="2"/>
      <c r="E301" s="2"/>
      <c r="F301" s="2"/>
      <c r="G301" s="2"/>
      <c r="H301" s="1322" t="s">
        <v>1142</v>
      </c>
      <c r="I301" s="1322"/>
      <c r="J301" s="1322"/>
      <c r="K301" s="1322"/>
      <c r="L301" s="1322"/>
      <c r="M301" s="1322"/>
      <c r="N301" s="1369"/>
      <c r="O301" s="1369"/>
      <c r="P301" s="1369"/>
      <c r="Q301" s="1369"/>
      <c r="R301" s="1369"/>
      <c r="S301" s="2"/>
      <c r="T301" s="2" t="s">
        <v>1131</v>
      </c>
      <c r="V301" s="2"/>
      <c r="W301" s="2"/>
      <c r="X301" s="2"/>
      <c r="Y301" s="2"/>
      <c r="AA301" s="1322"/>
      <c r="AB301" s="1322"/>
      <c r="AC301" s="1322"/>
      <c r="AD301" s="1322"/>
      <c r="AE301" s="1322"/>
      <c r="AF301" s="1322"/>
      <c r="AG301" s="1369"/>
      <c r="AH301" s="1369"/>
      <c r="AI301" s="1369"/>
      <c r="AJ301" s="1369"/>
      <c r="AK301" s="1369"/>
    </row>
    <row r="302" spans="2:37" ht="13" customHeight="1"/>
    <row r="303" spans="2:37" ht="13" customHeight="1">
      <c r="B303" s="2" t="s">
        <v>1143</v>
      </c>
      <c r="C303" s="2"/>
      <c r="D303" s="2"/>
      <c r="E303" s="2"/>
      <c r="F303" s="2"/>
      <c r="H303" s="1369" t="s">
        <v>1134</v>
      </c>
      <c r="I303" s="1369"/>
      <c r="J303" s="1369"/>
      <c r="K303" s="1369"/>
      <c r="L303" s="1369"/>
      <c r="M303" s="1369"/>
      <c r="N303" s="1369"/>
      <c r="O303" s="1369"/>
      <c r="P303" s="1369"/>
      <c r="Q303" s="1369"/>
      <c r="R303" s="1369"/>
      <c r="T303" s="2" t="s">
        <v>1144</v>
      </c>
      <c r="V303" s="2"/>
      <c r="W303" s="2"/>
      <c r="X303" s="2"/>
      <c r="Y303" s="2"/>
      <c r="AA303" s="1369" t="s">
        <v>800</v>
      </c>
      <c r="AB303" s="1369"/>
      <c r="AC303" s="1369"/>
      <c r="AD303" s="1369"/>
      <c r="AE303" s="1369"/>
      <c r="AF303" s="1369"/>
      <c r="AG303" s="1369"/>
      <c r="AH303" s="1369"/>
      <c r="AI303" s="1369"/>
      <c r="AJ303" s="1369"/>
      <c r="AK303" s="1369"/>
    </row>
    <row r="304" spans="2:37" ht="13" customHeight="1">
      <c r="B304" s="2" t="s">
        <v>1122</v>
      </c>
      <c r="C304" s="2"/>
      <c r="D304" s="2"/>
      <c r="E304" s="2"/>
      <c r="F304" s="2"/>
      <c r="H304" s="1322" t="s">
        <v>1137</v>
      </c>
      <c r="I304" s="1322"/>
      <c r="J304" s="1322"/>
      <c r="K304" s="1322"/>
      <c r="L304" s="1322"/>
      <c r="M304" s="1322"/>
      <c r="N304" s="1322"/>
      <c r="O304" s="1322"/>
      <c r="P304" s="1322"/>
      <c r="Q304" s="1322"/>
      <c r="R304" s="1322"/>
      <c r="T304" s="2" t="s">
        <v>1122</v>
      </c>
      <c r="V304" s="2"/>
      <c r="W304" s="2"/>
      <c r="X304" s="2"/>
      <c r="Y304" s="2"/>
      <c r="AA304" s="1322"/>
      <c r="AB304" s="1322"/>
      <c r="AC304" s="1322"/>
      <c r="AD304" s="1322"/>
      <c r="AE304" s="1322"/>
      <c r="AF304" s="1322"/>
      <c r="AG304" s="1322"/>
      <c r="AH304" s="1322"/>
      <c r="AI304" s="1322"/>
      <c r="AJ304" s="1322"/>
      <c r="AK304" s="1322"/>
    </row>
    <row r="305" spans="2:37" ht="13" customHeight="1">
      <c r="B305" s="2" t="s">
        <v>1124</v>
      </c>
      <c r="C305" s="2"/>
      <c r="D305" s="2"/>
      <c r="E305" s="2"/>
      <c r="F305" s="2"/>
      <c r="H305" s="1322" t="s">
        <v>1138</v>
      </c>
      <c r="I305" s="1322"/>
      <c r="J305" s="1322"/>
      <c r="K305" s="1322"/>
      <c r="L305" s="1322"/>
      <c r="M305" s="1322"/>
      <c r="N305" s="1322"/>
      <c r="O305" s="1322"/>
      <c r="P305" s="1322"/>
      <c r="Q305" s="1322"/>
      <c r="R305" s="1322"/>
      <c r="T305" s="2" t="s">
        <v>1126</v>
      </c>
      <c r="V305" s="2"/>
      <c r="W305" s="2"/>
      <c r="X305" s="2"/>
      <c r="Y305" s="2"/>
      <c r="AA305" s="1322"/>
      <c r="AB305" s="1322"/>
      <c r="AC305" s="1322"/>
      <c r="AD305" s="1322"/>
      <c r="AE305" s="1322"/>
      <c r="AF305" s="1322"/>
      <c r="AG305" s="1322"/>
      <c r="AH305" s="1322"/>
      <c r="AI305" s="1322"/>
      <c r="AJ305" s="1322"/>
      <c r="AK305" s="1322"/>
    </row>
    <row r="306" spans="2:37" ht="13" customHeight="1">
      <c r="B306" s="2" t="s">
        <v>1068</v>
      </c>
      <c r="C306" s="2"/>
      <c r="D306" s="2"/>
      <c r="E306" s="2"/>
      <c r="F306" s="2"/>
      <c r="H306" s="1322" t="s">
        <v>1139</v>
      </c>
      <c r="I306" s="1322"/>
      <c r="J306" s="1322"/>
      <c r="K306" s="1322"/>
      <c r="L306" s="1322"/>
      <c r="M306" s="1322"/>
      <c r="N306" s="1322"/>
      <c r="O306" s="1322"/>
      <c r="P306" s="1322"/>
      <c r="Q306" s="1322"/>
      <c r="R306" s="1322"/>
      <c r="T306" s="2" t="s">
        <v>1068</v>
      </c>
      <c r="V306" s="2"/>
      <c r="W306" s="2"/>
      <c r="X306" s="2"/>
      <c r="Y306" s="2"/>
      <c r="AA306" s="1322"/>
      <c r="AB306" s="1322"/>
      <c r="AC306" s="1322"/>
      <c r="AD306" s="1322"/>
      <c r="AE306" s="1322"/>
      <c r="AF306" s="1322"/>
      <c r="AG306" s="1322"/>
      <c r="AH306" s="1322"/>
      <c r="AI306" s="1322"/>
      <c r="AJ306" s="1322"/>
      <c r="AK306" s="1322"/>
    </row>
    <row r="307" spans="2:37" ht="13" customHeight="1">
      <c r="B307" s="2" t="s">
        <v>1070</v>
      </c>
      <c r="C307" s="2"/>
      <c r="D307" s="2"/>
      <c r="E307" s="2"/>
      <c r="F307" s="2"/>
      <c r="G307" s="2"/>
      <c r="H307" s="1472" t="s">
        <v>1140</v>
      </c>
      <c r="I307" s="1472"/>
      <c r="J307" s="1472"/>
      <c r="K307" s="1472"/>
      <c r="L307" s="1472"/>
      <c r="M307" s="1472"/>
      <c r="N307" s="2" t="s">
        <v>1072</v>
      </c>
      <c r="O307" s="2"/>
      <c r="P307" s="1471"/>
      <c r="Q307" s="1471"/>
      <c r="R307" s="1471"/>
      <c r="S307" s="2"/>
      <c r="T307" s="2" t="s">
        <v>1070</v>
      </c>
      <c r="V307" s="2"/>
      <c r="W307" s="2"/>
      <c r="X307" s="2"/>
      <c r="Y307" s="2"/>
      <c r="AA307" s="1472"/>
      <c r="AB307" s="1472"/>
      <c r="AC307" s="1472"/>
      <c r="AD307" s="1472"/>
      <c r="AE307" s="1472"/>
      <c r="AF307" s="1472"/>
      <c r="AG307" s="2" t="s">
        <v>1072</v>
      </c>
      <c r="AH307" s="2"/>
      <c r="AI307" s="1471"/>
      <c r="AJ307" s="1471"/>
      <c r="AK307" s="1471"/>
    </row>
    <row r="308" spans="2:37" ht="13" customHeight="1">
      <c r="B308" s="2" t="s">
        <v>1073</v>
      </c>
      <c r="C308" s="2"/>
      <c r="D308" s="2"/>
      <c r="E308" s="2"/>
      <c r="F308" s="2"/>
      <c r="G308" s="2"/>
      <c r="H308" s="1421" t="s">
        <v>1141</v>
      </c>
      <c r="I308" s="1421"/>
      <c r="J308" s="1421"/>
      <c r="K308" s="1421"/>
      <c r="L308" s="1421"/>
      <c r="M308" s="1421"/>
      <c r="N308" s="2"/>
      <c r="O308" s="2"/>
      <c r="P308" s="68"/>
      <c r="Q308" s="68"/>
      <c r="R308" s="68"/>
      <c r="S308" s="2"/>
      <c r="T308" s="2" t="s">
        <v>1073</v>
      </c>
      <c r="V308" s="2"/>
      <c r="W308" s="2"/>
      <c r="X308" s="2"/>
      <c r="Y308" s="2"/>
      <c r="AA308" s="1421"/>
      <c r="AB308" s="1421"/>
      <c r="AC308" s="1421"/>
      <c r="AD308" s="1421"/>
      <c r="AE308" s="1421"/>
      <c r="AF308" s="1421"/>
      <c r="AG308" s="2"/>
      <c r="AH308" s="2"/>
      <c r="AI308" s="68"/>
      <c r="AJ308" s="68"/>
      <c r="AK308" s="68"/>
    </row>
    <row r="309" spans="2:37" ht="13" customHeight="1">
      <c r="B309" s="2" t="s">
        <v>1131</v>
      </c>
      <c r="C309" s="2"/>
      <c r="D309" s="2"/>
      <c r="E309" s="2"/>
      <c r="F309" s="2"/>
      <c r="G309" s="2"/>
      <c r="H309" s="1322" t="s">
        <v>1142</v>
      </c>
      <c r="I309" s="1322"/>
      <c r="J309" s="1322"/>
      <c r="K309" s="1322"/>
      <c r="L309" s="1322"/>
      <c r="M309" s="1322"/>
      <c r="N309" s="1369"/>
      <c r="O309" s="1369"/>
      <c r="P309" s="1369"/>
      <c r="Q309" s="1369"/>
      <c r="R309" s="1369"/>
      <c r="S309" s="2"/>
      <c r="T309" s="2" t="s">
        <v>1131</v>
      </c>
      <c r="V309" s="2"/>
      <c r="W309" s="2"/>
      <c r="X309" s="2"/>
      <c r="Y309" s="2"/>
      <c r="AA309" s="1322"/>
      <c r="AB309" s="1322"/>
      <c r="AC309" s="1322"/>
      <c r="AD309" s="1322"/>
      <c r="AE309" s="1322"/>
      <c r="AF309" s="1322"/>
      <c r="AG309" s="1369"/>
      <c r="AH309" s="1369"/>
      <c r="AI309" s="1369"/>
      <c r="AJ309" s="1369"/>
      <c r="AK309" s="1369"/>
    </row>
    <row r="310" spans="2:37" ht="13"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3" customHeight="1">
      <c r="B311" s="2" t="s">
        <v>1145</v>
      </c>
      <c r="C311" s="2"/>
      <c r="D311" s="2"/>
      <c r="E311" s="2"/>
      <c r="F311" s="2"/>
      <c r="H311" s="1369" t="s">
        <v>1146</v>
      </c>
      <c r="I311" s="1369"/>
      <c r="J311" s="1369"/>
      <c r="K311" s="1369"/>
      <c r="L311" s="1369"/>
      <c r="M311" s="1369"/>
      <c r="N311" s="1369"/>
      <c r="O311" s="1369"/>
      <c r="P311" s="1369"/>
      <c r="Q311" s="1369"/>
      <c r="R311" s="1369"/>
      <c r="S311" s="2"/>
      <c r="T311" s="2" t="s">
        <v>1147</v>
      </c>
      <c r="V311" s="2"/>
      <c r="W311" s="2"/>
      <c r="X311" s="2"/>
      <c r="Y311" s="2"/>
      <c r="AA311" s="1369" t="s">
        <v>1136</v>
      </c>
      <c r="AB311" s="1369"/>
      <c r="AC311" s="1369"/>
      <c r="AD311" s="1369"/>
      <c r="AE311" s="1369"/>
      <c r="AF311" s="1369"/>
      <c r="AG311" s="1369"/>
      <c r="AH311" s="1369"/>
      <c r="AI311" s="1369"/>
      <c r="AJ311" s="1369"/>
      <c r="AK311" s="1369"/>
    </row>
    <row r="312" spans="2:37" ht="13" customHeight="1">
      <c r="B312" s="2" t="s">
        <v>1122</v>
      </c>
      <c r="C312" s="2"/>
      <c r="D312" s="2"/>
      <c r="E312" s="2"/>
      <c r="F312" s="2"/>
      <c r="H312" s="1322" t="s">
        <v>1148</v>
      </c>
      <c r="I312" s="1322"/>
      <c r="J312" s="1322"/>
      <c r="K312" s="1322"/>
      <c r="L312" s="1322"/>
      <c r="M312" s="1322"/>
      <c r="N312" s="1322"/>
      <c r="O312" s="1322"/>
      <c r="P312" s="1322"/>
      <c r="Q312" s="1322"/>
      <c r="R312" s="1322"/>
      <c r="S312" s="2"/>
      <c r="T312" s="2" t="s">
        <v>1122</v>
      </c>
      <c r="V312" s="2"/>
      <c r="W312" s="2"/>
      <c r="X312" s="2"/>
      <c r="Y312" s="2"/>
      <c r="AA312" s="1322"/>
      <c r="AB312" s="1322"/>
      <c r="AC312" s="1322"/>
      <c r="AD312" s="1322"/>
      <c r="AE312" s="1322"/>
      <c r="AF312" s="1322"/>
      <c r="AG312" s="1322"/>
      <c r="AH312" s="1322"/>
      <c r="AI312" s="1322"/>
      <c r="AJ312" s="1322"/>
      <c r="AK312" s="1322"/>
    </row>
    <row r="313" spans="2:37" ht="13" customHeight="1">
      <c r="B313" s="2" t="s">
        <v>1124</v>
      </c>
      <c r="C313" s="2"/>
      <c r="D313" s="2"/>
      <c r="E313" s="2"/>
      <c r="F313" s="2"/>
      <c r="H313" s="1322" t="s">
        <v>1149</v>
      </c>
      <c r="I313" s="1322"/>
      <c r="J313" s="1322"/>
      <c r="K313" s="1322"/>
      <c r="L313" s="1322"/>
      <c r="M313" s="1322"/>
      <c r="N313" s="1322"/>
      <c r="O313" s="1322"/>
      <c r="P313" s="1322"/>
      <c r="Q313" s="1322"/>
      <c r="R313" s="1322"/>
      <c r="S313" s="2"/>
      <c r="T313" s="2" t="s">
        <v>1126</v>
      </c>
      <c r="V313" s="2"/>
      <c r="W313" s="2"/>
      <c r="X313" s="2"/>
      <c r="Y313" s="2"/>
      <c r="AA313" s="1322"/>
      <c r="AB313" s="1322"/>
      <c r="AC313" s="1322"/>
      <c r="AD313" s="1322"/>
      <c r="AE313" s="1322"/>
      <c r="AF313" s="1322"/>
      <c r="AG313" s="1322"/>
      <c r="AH313" s="1322"/>
      <c r="AI313" s="1322"/>
      <c r="AJ313" s="1322"/>
      <c r="AK313" s="1322"/>
    </row>
    <row r="314" spans="2:37" ht="13" customHeight="1">
      <c r="B314" s="2" t="s">
        <v>1068</v>
      </c>
      <c r="C314" s="2"/>
      <c r="D314" s="2"/>
      <c r="E314" s="2"/>
      <c r="F314" s="2"/>
      <c r="H314" s="1322" t="s">
        <v>1146</v>
      </c>
      <c r="I314" s="1322"/>
      <c r="J314" s="1322"/>
      <c r="K314" s="1322"/>
      <c r="L314" s="1322"/>
      <c r="M314" s="1322"/>
      <c r="N314" s="1322"/>
      <c r="O314" s="1322"/>
      <c r="P314" s="1322"/>
      <c r="Q314" s="1322"/>
      <c r="R314" s="1322"/>
      <c r="S314" s="2"/>
      <c r="T314" s="2" t="s">
        <v>1068</v>
      </c>
      <c r="V314" s="2"/>
      <c r="W314" s="2"/>
      <c r="X314" s="2"/>
      <c r="Y314" s="2"/>
      <c r="AA314" s="1322"/>
      <c r="AB314" s="1322"/>
      <c r="AC314" s="1322"/>
      <c r="AD314" s="1322"/>
      <c r="AE314" s="1322"/>
      <c r="AF314" s="1322"/>
      <c r="AG314" s="1322"/>
      <c r="AH314" s="1322"/>
      <c r="AI314" s="1322"/>
      <c r="AJ314" s="1322"/>
      <c r="AK314" s="1322"/>
    </row>
    <row r="315" spans="2:37" ht="13" customHeight="1">
      <c r="B315" s="2" t="s">
        <v>1070</v>
      </c>
      <c r="C315" s="2"/>
      <c r="D315" s="2"/>
      <c r="E315" s="2"/>
      <c r="F315" s="2"/>
      <c r="G315" s="2"/>
      <c r="H315" s="1472" t="s">
        <v>1150</v>
      </c>
      <c r="I315" s="1472"/>
      <c r="J315" s="1472"/>
      <c r="K315" s="1472"/>
      <c r="L315" s="1472"/>
      <c r="M315" s="1472"/>
      <c r="N315" s="2" t="s">
        <v>1072</v>
      </c>
      <c r="O315" s="2"/>
      <c r="P315" s="1471"/>
      <c r="Q315" s="1471"/>
      <c r="R315" s="1471"/>
      <c r="S315" s="2"/>
      <c r="T315" s="2" t="s">
        <v>1070</v>
      </c>
      <c r="V315" s="2"/>
      <c r="W315" s="2"/>
      <c r="X315" s="2"/>
      <c r="Y315" s="2"/>
      <c r="AA315" s="1472"/>
      <c r="AB315" s="1472"/>
      <c r="AC315" s="1472"/>
      <c r="AD315" s="1472"/>
      <c r="AE315" s="1472"/>
      <c r="AF315" s="1472"/>
      <c r="AG315" s="2" t="s">
        <v>1072</v>
      </c>
      <c r="AH315" s="2"/>
      <c r="AI315" s="1471"/>
      <c r="AJ315" s="1471"/>
      <c r="AK315" s="1471"/>
    </row>
    <row r="316" spans="2:37" ht="13" customHeight="1">
      <c r="B316" s="2" t="s">
        <v>1073</v>
      </c>
      <c r="C316" s="2"/>
      <c r="D316" s="2"/>
      <c r="E316" s="2"/>
      <c r="F316" s="2"/>
      <c r="G316" s="2"/>
      <c r="H316" s="1421"/>
      <c r="I316" s="1421"/>
      <c r="J316" s="1421"/>
      <c r="K316" s="1421"/>
      <c r="L316" s="1421"/>
      <c r="M316" s="1421"/>
      <c r="N316" s="2"/>
      <c r="O316" s="2"/>
      <c r="P316" s="68"/>
      <c r="Q316" s="68"/>
      <c r="R316" s="68"/>
      <c r="S316" s="2"/>
      <c r="T316" s="2" t="s">
        <v>1073</v>
      </c>
      <c r="V316" s="2"/>
      <c r="W316" s="2"/>
      <c r="X316" s="2"/>
      <c r="Y316" s="2"/>
      <c r="AA316" s="1421"/>
      <c r="AB316" s="1421"/>
      <c r="AC316" s="1421"/>
      <c r="AD316" s="1421"/>
      <c r="AE316" s="1421"/>
      <c r="AF316" s="1421"/>
      <c r="AG316" s="2"/>
      <c r="AH316" s="2"/>
      <c r="AI316" s="68"/>
      <c r="AJ316" s="68"/>
      <c r="AK316" s="68"/>
    </row>
    <row r="317" spans="2:37" ht="13" customHeight="1">
      <c r="B317" s="2" t="s">
        <v>1131</v>
      </c>
      <c r="C317" s="2"/>
      <c r="D317" s="2"/>
      <c r="E317" s="2"/>
      <c r="F317" s="2"/>
      <c r="G317" s="2"/>
      <c r="H317" s="1322" t="s">
        <v>1151</v>
      </c>
      <c r="I317" s="1322"/>
      <c r="J317" s="1322"/>
      <c r="K317" s="1322"/>
      <c r="L317" s="1322"/>
      <c r="M317" s="1322"/>
      <c r="N317" s="1369"/>
      <c r="O317" s="1369"/>
      <c r="P317" s="1369"/>
      <c r="Q317" s="1369"/>
      <c r="R317" s="1369"/>
      <c r="S317" s="2"/>
      <c r="T317" s="2" t="s">
        <v>1131</v>
      </c>
      <c r="V317" s="2"/>
      <c r="W317" s="2"/>
      <c r="X317" s="2"/>
      <c r="Y317" s="2"/>
      <c r="AA317" s="1322"/>
      <c r="AB317" s="1322"/>
      <c r="AC317" s="1322"/>
      <c r="AD317" s="1322"/>
      <c r="AE317" s="1322"/>
      <c r="AF317" s="1322"/>
      <c r="AG317" s="1369"/>
      <c r="AH317" s="1369"/>
      <c r="AI317" s="1369"/>
      <c r="AJ317" s="1369"/>
      <c r="AK317" s="1369"/>
    </row>
    <row r="318" spans="2:37" ht="13" customHeight="1"/>
    <row r="319" spans="2:37" ht="13" customHeight="1">
      <c r="B319" s="2" t="s">
        <v>1152</v>
      </c>
      <c r="C319" s="2"/>
      <c r="D319" s="2"/>
      <c r="E319" s="2"/>
      <c r="F319" s="2"/>
      <c r="H319" s="1369" t="s">
        <v>1153</v>
      </c>
      <c r="I319" s="1369"/>
      <c r="J319" s="1369"/>
      <c r="K319" s="1369"/>
      <c r="L319" s="1369"/>
      <c r="M319" s="1369"/>
      <c r="N319" s="1369"/>
      <c r="O319" s="1369"/>
      <c r="P319" s="1369"/>
      <c r="Q319" s="1369"/>
      <c r="R319" s="1369"/>
      <c r="T319" s="2" t="s">
        <v>1154</v>
      </c>
      <c r="V319" s="2"/>
      <c r="W319" s="2"/>
      <c r="X319" s="2"/>
      <c r="Y319" s="2"/>
      <c r="AA319" s="1369" t="s">
        <v>1155</v>
      </c>
      <c r="AB319" s="1369"/>
      <c r="AC319" s="1369"/>
      <c r="AD319" s="1369"/>
      <c r="AE319" s="1369"/>
      <c r="AF319" s="1369"/>
      <c r="AG319" s="1369"/>
      <c r="AH319" s="1369"/>
      <c r="AI319" s="1369"/>
      <c r="AJ319" s="1369"/>
      <c r="AK319" s="1369"/>
    </row>
    <row r="320" spans="2:37" ht="13" customHeight="1">
      <c r="B320" s="2" t="s">
        <v>1122</v>
      </c>
      <c r="C320" s="2"/>
      <c r="D320" s="2"/>
      <c r="E320" s="2"/>
      <c r="F320" s="2"/>
      <c r="H320" s="1370" t="s">
        <v>1156</v>
      </c>
      <c r="I320" s="1322"/>
      <c r="J320" s="1322"/>
      <c r="K320" s="1322"/>
      <c r="L320" s="1322"/>
      <c r="M320" s="1322"/>
      <c r="N320" s="1322"/>
      <c r="O320" s="1322"/>
      <c r="P320" s="1322"/>
      <c r="Q320" s="1322"/>
      <c r="R320" s="1322"/>
      <c r="T320" s="2" t="s">
        <v>1122</v>
      </c>
      <c r="V320" s="2"/>
      <c r="W320" s="2"/>
      <c r="X320" s="2"/>
      <c r="Y320" s="2"/>
      <c r="AA320" s="1322" t="s">
        <v>1157</v>
      </c>
      <c r="AB320" s="1322"/>
      <c r="AC320" s="1322"/>
      <c r="AD320" s="1322"/>
      <c r="AE320" s="1322"/>
      <c r="AF320" s="1322"/>
      <c r="AG320" s="1322"/>
      <c r="AH320" s="1322"/>
      <c r="AI320" s="1322"/>
      <c r="AJ320" s="1322"/>
      <c r="AK320" s="1322"/>
    </row>
    <row r="321" spans="2:37" ht="13" customHeight="1">
      <c r="B321" s="2" t="s">
        <v>1124</v>
      </c>
      <c r="C321" s="2"/>
      <c r="D321" s="2"/>
      <c r="E321" s="2"/>
      <c r="F321" s="2"/>
      <c r="H321" s="1370" t="s">
        <v>1158</v>
      </c>
      <c r="I321" s="1322"/>
      <c r="J321" s="1322"/>
      <c r="K321" s="1322"/>
      <c r="L321" s="1322"/>
      <c r="M321" s="1322"/>
      <c r="N321" s="1322"/>
      <c r="O321" s="1322"/>
      <c r="P321" s="1322"/>
      <c r="Q321" s="1322"/>
      <c r="R321" s="1322"/>
      <c r="T321" s="2" t="s">
        <v>1126</v>
      </c>
      <c r="V321" s="2"/>
      <c r="W321" s="2"/>
      <c r="X321" s="2"/>
      <c r="Y321" s="2"/>
      <c r="AA321" s="1322" t="s">
        <v>1159</v>
      </c>
      <c r="AB321" s="1322"/>
      <c r="AC321" s="1322"/>
      <c r="AD321" s="1322"/>
      <c r="AE321" s="1322"/>
      <c r="AF321" s="1322"/>
      <c r="AG321" s="1322"/>
      <c r="AH321" s="1322"/>
      <c r="AI321" s="1322"/>
      <c r="AJ321" s="1322"/>
      <c r="AK321" s="1322"/>
    </row>
    <row r="322" spans="2:37" ht="13" customHeight="1">
      <c r="B322" s="2" t="s">
        <v>1068</v>
      </c>
      <c r="C322" s="2"/>
      <c r="D322" s="2"/>
      <c r="E322" s="2"/>
      <c r="F322" s="2"/>
      <c r="H322" s="1322" t="s">
        <v>1160</v>
      </c>
      <c r="I322" s="1322"/>
      <c r="J322" s="1322"/>
      <c r="K322" s="1322"/>
      <c r="L322" s="1322"/>
      <c r="M322" s="1322"/>
      <c r="N322" s="1322"/>
      <c r="O322" s="1322"/>
      <c r="P322" s="1322"/>
      <c r="Q322" s="1322"/>
      <c r="R322" s="1322"/>
      <c r="T322" s="2" t="s">
        <v>1068</v>
      </c>
      <c r="V322" s="2"/>
      <c r="W322" s="2"/>
      <c r="X322" s="2"/>
      <c r="Y322" s="2"/>
      <c r="AA322" s="1322" t="s">
        <v>1161</v>
      </c>
      <c r="AB322" s="1322"/>
      <c r="AC322" s="1322"/>
      <c r="AD322" s="1322"/>
      <c r="AE322" s="1322"/>
      <c r="AF322" s="1322"/>
      <c r="AG322" s="1322"/>
      <c r="AH322" s="1322"/>
      <c r="AI322" s="1322"/>
      <c r="AJ322" s="1322"/>
      <c r="AK322" s="1322"/>
    </row>
    <row r="323" spans="2:37" ht="13" customHeight="1">
      <c r="B323" s="2" t="s">
        <v>1070</v>
      </c>
      <c r="C323" s="2"/>
      <c r="D323" s="2"/>
      <c r="E323" s="2"/>
      <c r="F323" s="2"/>
      <c r="G323" s="2"/>
      <c r="H323" s="1472" t="s">
        <v>1162</v>
      </c>
      <c r="I323" s="1472"/>
      <c r="J323" s="1472"/>
      <c r="K323" s="1472"/>
      <c r="L323" s="1472"/>
      <c r="M323" s="1472"/>
      <c r="N323" s="2" t="s">
        <v>1072</v>
      </c>
      <c r="O323" s="2"/>
      <c r="P323" s="1471"/>
      <c r="Q323" s="1471"/>
      <c r="R323" s="1471"/>
      <c r="S323" s="2"/>
      <c r="T323" s="2" t="s">
        <v>1070</v>
      </c>
      <c r="V323" s="2"/>
      <c r="W323" s="2"/>
      <c r="X323" s="2"/>
      <c r="Y323" s="2"/>
      <c r="AA323" s="1472" t="s">
        <v>1163</v>
      </c>
      <c r="AB323" s="1472"/>
      <c r="AC323" s="1472"/>
      <c r="AD323" s="1472"/>
      <c r="AE323" s="1472"/>
      <c r="AF323" s="1472"/>
      <c r="AG323" s="2" t="s">
        <v>1072</v>
      </c>
      <c r="AH323" s="2"/>
      <c r="AI323" s="1471"/>
      <c r="AJ323" s="1471"/>
      <c r="AK323" s="1471"/>
    </row>
    <row r="324" spans="2:37" ht="13" customHeight="1">
      <c r="B324" s="2" t="s">
        <v>1073</v>
      </c>
      <c r="C324" s="2"/>
      <c r="D324" s="2"/>
      <c r="E324" s="2"/>
      <c r="F324" s="2"/>
      <c r="G324" s="2"/>
      <c r="H324" s="1421"/>
      <c r="I324" s="1421"/>
      <c r="J324" s="1421"/>
      <c r="K324" s="1421"/>
      <c r="L324" s="1421"/>
      <c r="M324" s="1421"/>
      <c r="N324" s="2"/>
      <c r="O324" s="2"/>
      <c r="P324" s="68"/>
      <c r="Q324" s="68"/>
      <c r="R324" s="68"/>
      <c r="S324" s="2"/>
      <c r="T324" s="2" t="s">
        <v>1073</v>
      </c>
      <c r="V324" s="2"/>
      <c r="W324" s="2"/>
      <c r="X324" s="2"/>
      <c r="Y324" s="2"/>
      <c r="AA324" s="1421" t="s">
        <v>1164</v>
      </c>
      <c r="AB324" s="1421"/>
      <c r="AC324" s="1421"/>
      <c r="AD324" s="1421"/>
      <c r="AE324" s="1421"/>
      <c r="AF324" s="1421"/>
      <c r="AG324" s="2"/>
      <c r="AH324" s="2"/>
      <c r="AI324" s="68"/>
      <c r="AJ324" s="68"/>
      <c r="AK324" s="68"/>
    </row>
    <row r="325" spans="2:37" ht="13" customHeight="1">
      <c r="B325" s="2" t="s">
        <v>1131</v>
      </c>
      <c r="C325" s="2"/>
      <c r="D325" s="2"/>
      <c r="E325" s="2"/>
      <c r="F325" s="2"/>
      <c r="G325" s="2"/>
      <c r="H325" s="1322" t="s">
        <v>1165</v>
      </c>
      <c r="I325" s="1322"/>
      <c r="J325" s="1322"/>
      <c r="K325" s="1322"/>
      <c r="L325" s="1322"/>
      <c r="M325" s="1322"/>
      <c r="N325" s="1369"/>
      <c r="O325" s="1369"/>
      <c r="P325" s="1369"/>
      <c r="Q325" s="1369"/>
      <c r="R325" s="1369"/>
      <c r="S325" s="2"/>
      <c r="T325" s="2" t="s">
        <v>1131</v>
      </c>
      <c r="V325" s="2"/>
      <c r="W325" s="2"/>
      <c r="X325" s="2"/>
      <c r="Y325" s="2"/>
      <c r="AA325" s="1322" t="s">
        <v>1166</v>
      </c>
      <c r="AB325" s="1322"/>
      <c r="AC325" s="1322"/>
      <c r="AD325" s="1322"/>
      <c r="AE325" s="1322"/>
      <c r="AF325" s="1322"/>
      <c r="AG325" s="1369"/>
      <c r="AH325" s="1369"/>
      <c r="AI325" s="1369"/>
      <c r="AJ325" s="1369"/>
      <c r="AK325" s="1369"/>
    </row>
    <row r="326" spans="2:37" ht="13" customHeight="1">
      <c r="B326" s="2"/>
      <c r="C326" s="2"/>
      <c r="D326" s="2"/>
      <c r="E326" s="2"/>
      <c r="F326" s="2"/>
      <c r="G326" s="2"/>
      <c r="P326" s="1155"/>
      <c r="Q326" s="1155"/>
      <c r="R326" s="1155"/>
      <c r="S326" s="1155"/>
      <c r="T326" s="1155"/>
      <c r="U326" s="1155"/>
      <c r="V326" s="2"/>
      <c r="W326" s="2"/>
      <c r="X326" s="68"/>
      <c r="Y326" s="68"/>
      <c r="Z326" s="68"/>
    </row>
    <row r="327" spans="2:37" ht="13" customHeight="1">
      <c r="B327" s="2" t="s">
        <v>1167</v>
      </c>
      <c r="C327" s="2"/>
      <c r="D327" s="2"/>
      <c r="E327" s="2"/>
      <c r="F327" s="2"/>
      <c r="H327" s="1369" t="s">
        <v>1168</v>
      </c>
      <c r="I327" s="1369"/>
      <c r="J327" s="1369"/>
      <c r="K327" s="1369"/>
      <c r="L327" s="1369"/>
      <c r="M327" s="1369"/>
      <c r="N327" s="1369"/>
      <c r="O327" s="1369"/>
      <c r="P327" s="1369"/>
      <c r="Q327" s="1369"/>
      <c r="R327" s="1369"/>
      <c r="T327" s="2" t="s">
        <v>1169</v>
      </c>
      <c r="V327" s="2"/>
      <c r="W327" s="2"/>
      <c r="X327" s="2"/>
      <c r="Y327" s="2"/>
      <c r="AA327" s="1322" t="s">
        <v>800</v>
      </c>
      <c r="AB327" s="1322"/>
      <c r="AC327" s="1322"/>
      <c r="AD327" s="1322"/>
      <c r="AE327" s="1322"/>
      <c r="AF327" s="1322"/>
      <c r="AG327" s="1322"/>
      <c r="AH327" s="1322"/>
      <c r="AI327" s="1322"/>
      <c r="AJ327" s="1322"/>
      <c r="AK327" s="1322"/>
    </row>
    <row r="328" spans="2:37" ht="13" customHeight="1">
      <c r="B328" s="2" t="s">
        <v>1122</v>
      </c>
      <c r="C328" s="2"/>
      <c r="D328" s="2"/>
      <c r="E328" s="2"/>
      <c r="F328" s="2"/>
      <c r="H328" s="1322" t="s">
        <v>1170</v>
      </c>
      <c r="I328" s="1322"/>
      <c r="J328" s="1322"/>
      <c r="K328" s="1322"/>
      <c r="L328" s="1322"/>
      <c r="M328" s="1322"/>
      <c r="N328" s="1322"/>
      <c r="O328" s="1322"/>
      <c r="P328" s="1322"/>
      <c r="Q328" s="1322"/>
      <c r="R328" s="1322"/>
      <c r="T328" s="2" t="s">
        <v>1122</v>
      </c>
      <c r="V328" s="2"/>
      <c r="W328" s="2"/>
      <c r="X328" s="2"/>
      <c r="Y328" s="2"/>
      <c r="AA328" s="185"/>
      <c r="AB328" s="185"/>
      <c r="AC328" s="185"/>
      <c r="AD328" s="185"/>
      <c r="AE328" s="185"/>
      <c r="AF328" s="185"/>
      <c r="AG328" s="185"/>
      <c r="AH328" s="185"/>
      <c r="AI328" s="185"/>
      <c r="AJ328" s="185"/>
      <c r="AK328" s="185"/>
    </row>
    <row r="329" spans="2:37" ht="13" customHeight="1">
      <c r="B329" s="2" t="s">
        <v>1124</v>
      </c>
      <c r="C329" s="2"/>
      <c r="D329" s="2"/>
      <c r="E329" s="2"/>
      <c r="F329" s="2"/>
      <c r="H329" s="1322" t="s">
        <v>1171</v>
      </c>
      <c r="I329" s="1322"/>
      <c r="J329" s="1322"/>
      <c r="K329" s="1322"/>
      <c r="L329" s="1322"/>
      <c r="M329" s="1322"/>
      <c r="N329" s="1322"/>
      <c r="O329" s="1322"/>
      <c r="P329" s="1322"/>
      <c r="Q329" s="1322"/>
      <c r="R329" s="1322"/>
      <c r="T329" s="2" t="s">
        <v>1126</v>
      </c>
      <c r="V329" s="2"/>
      <c r="W329" s="2"/>
      <c r="X329" s="2"/>
      <c r="Y329" s="2"/>
      <c r="AA329" s="1322"/>
      <c r="AB329" s="1322"/>
      <c r="AC329" s="1322"/>
      <c r="AD329" s="1322"/>
      <c r="AE329" s="1322"/>
      <c r="AF329" s="1322"/>
      <c r="AG329" s="1322"/>
      <c r="AH329" s="1322"/>
      <c r="AI329" s="1322"/>
      <c r="AJ329" s="1322"/>
      <c r="AK329" s="1322"/>
    </row>
    <row r="330" spans="2:37" ht="13" customHeight="1">
      <c r="B330" s="2" t="s">
        <v>1068</v>
      </c>
      <c r="C330" s="2"/>
      <c r="D330" s="2"/>
      <c r="E330" s="2"/>
      <c r="F330" s="2"/>
      <c r="H330" s="1322" t="s">
        <v>1172</v>
      </c>
      <c r="I330" s="1322"/>
      <c r="J330" s="1322"/>
      <c r="K330" s="1322"/>
      <c r="L330" s="1322"/>
      <c r="M330" s="1322"/>
      <c r="N330" s="1322"/>
      <c r="O330" s="1322"/>
      <c r="P330" s="1322"/>
      <c r="Q330" s="1322"/>
      <c r="R330" s="1322"/>
      <c r="T330" s="2" t="s">
        <v>1068</v>
      </c>
      <c r="V330" s="2"/>
      <c r="W330" s="2"/>
      <c r="X330" s="2"/>
      <c r="Y330" s="2"/>
      <c r="AA330" s="1322"/>
      <c r="AB330" s="1322"/>
      <c r="AC330" s="1322"/>
      <c r="AD330" s="1322"/>
      <c r="AE330" s="1322"/>
      <c r="AF330" s="1322"/>
      <c r="AG330" s="1322"/>
      <c r="AH330" s="1322"/>
      <c r="AI330" s="1322"/>
      <c r="AJ330" s="1322"/>
      <c r="AK330" s="1322"/>
    </row>
    <row r="331" spans="2:37" ht="13" customHeight="1">
      <c r="B331" s="2" t="s">
        <v>1070</v>
      </c>
      <c r="C331" s="2"/>
      <c r="D331" s="2"/>
      <c r="E331" s="2"/>
      <c r="F331" s="2"/>
      <c r="G331" s="2"/>
      <c r="H331" s="1472" t="s">
        <v>1173</v>
      </c>
      <c r="I331" s="1472"/>
      <c r="J331" s="1472"/>
      <c r="K331" s="1472"/>
      <c r="L331" s="1472"/>
      <c r="M331" s="1472"/>
      <c r="N331" s="2" t="s">
        <v>1072</v>
      </c>
      <c r="O331" s="2"/>
      <c r="P331" s="1471"/>
      <c r="Q331" s="1471"/>
      <c r="R331" s="1471"/>
      <c r="S331" s="2"/>
      <c r="T331" s="2" t="s">
        <v>1070</v>
      </c>
      <c r="V331" s="2"/>
      <c r="W331" s="2"/>
      <c r="X331" s="2"/>
      <c r="Y331" s="2"/>
      <c r="AA331" s="1472"/>
      <c r="AB331" s="1472"/>
      <c r="AC331" s="1472"/>
      <c r="AD331" s="1472"/>
      <c r="AE331" s="1472"/>
      <c r="AF331" s="1472"/>
      <c r="AG331" s="2" t="s">
        <v>1072</v>
      </c>
      <c r="AH331" s="2"/>
      <c r="AI331" s="1471"/>
      <c r="AJ331" s="1471"/>
      <c r="AK331" s="1471"/>
    </row>
    <row r="332" spans="2:37" ht="13" customHeight="1">
      <c r="B332" s="2" t="s">
        <v>1073</v>
      </c>
      <c r="C332" s="2"/>
      <c r="D332" s="2"/>
      <c r="E332" s="2"/>
      <c r="F332" s="2"/>
      <c r="G332" s="2"/>
      <c r="H332" s="1421"/>
      <c r="I332" s="1421"/>
      <c r="J332" s="1421"/>
      <c r="K332" s="1421"/>
      <c r="L332" s="1421"/>
      <c r="M332" s="1421"/>
      <c r="N332" s="2"/>
      <c r="O332" s="2"/>
      <c r="P332" s="68"/>
      <c r="Q332" s="68"/>
      <c r="R332" s="68"/>
      <c r="S332" s="2"/>
      <c r="T332" s="2" t="s">
        <v>1073</v>
      </c>
      <c r="V332" s="2"/>
      <c r="W332" s="2"/>
      <c r="X332" s="2"/>
      <c r="Y332" s="2"/>
      <c r="AA332" s="1421"/>
      <c r="AB332" s="1421"/>
      <c r="AC332" s="1421"/>
      <c r="AD332" s="1421"/>
      <c r="AE332" s="1421"/>
      <c r="AF332" s="1421"/>
      <c r="AG332" s="2"/>
      <c r="AH332" s="2"/>
      <c r="AI332" s="68"/>
      <c r="AJ332" s="68"/>
      <c r="AK332" s="68"/>
    </row>
    <row r="333" spans="2:37" ht="13" customHeight="1">
      <c r="B333" s="2" t="s">
        <v>1131</v>
      </c>
      <c r="C333" s="2"/>
      <c r="D333" s="2"/>
      <c r="E333" s="2"/>
      <c r="F333" s="2"/>
      <c r="G333" s="2"/>
      <c r="H333" s="1322" t="s">
        <v>1174</v>
      </c>
      <c r="I333" s="1322"/>
      <c r="J333" s="1322"/>
      <c r="K333" s="1322"/>
      <c r="L333" s="1322"/>
      <c r="M333" s="1322"/>
      <c r="N333" s="1369"/>
      <c r="O333" s="1369"/>
      <c r="P333" s="1369"/>
      <c r="Q333" s="1369"/>
      <c r="R333" s="1369"/>
      <c r="S333" s="2"/>
      <c r="T333" s="2" t="s">
        <v>1131</v>
      </c>
      <c r="V333" s="2"/>
      <c r="W333" s="2"/>
      <c r="X333" s="2"/>
      <c r="Y333" s="2"/>
      <c r="AA333" s="1322"/>
      <c r="AB333" s="1322"/>
      <c r="AC333" s="1322"/>
      <c r="AD333" s="1322"/>
      <c r="AE333" s="1322"/>
      <c r="AF333" s="1322"/>
      <c r="AG333" s="1369"/>
      <c r="AH333" s="1369"/>
      <c r="AI333" s="1369"/>
      <c r="AJ333" s="1369"/>
      <c r="AK333" s="1369"/>
    </row>
    <row r="334" spans="2:37" ht="13" customHeight="1">
      <c r="B334" s="2"/>
      <c r="C334" s="2"/>
      <c r="D334" s="2"/>
      <c r="E334" s="2"/>
      <c r="F334" s="2"/>
      <c r="G334" s="2"/>
      <c r="P334" s="1155"/>
      <c r="Q334" s="1155"/>
      <c r="R334" s="1155"/>
      <c r="S334" s="1155"/>
      <c r="T334" s="1155"/>
      <c r="U334" s="1155"/>
      <c r="V334" s="2"/>
      <c r="W334" s="2"/>
      <c r="X334" s="68"/>
      <c r="Y334" s="68"/>
      <c r="Z334" s="68"/>
    </row>
    <row r="335" spans="2:37" ht="13" customHeight="1">
      <c r="B335" s="2" t="s">
        <v>1175</v>
      </c>
      <c r="C335" s="2"/>
      <c r="D335" s="2"/>
      <c r="E335" s="2"/>
      <c r="F335" s="2"/>
      <c r="H335" s="1369" t="s">
        <v>1176</v>
      </c>
      <c r="I335" s="1369"/>
      <c r="J335" s="1369"/>
      <c r="K335" s="1369"/>
      <c r="L335" s="1369"/>
      <c r="M335" s="1369"/>
      <c r="N335" s="1369"/>
      <c r="O335" s="1369"/>
      <c r="P335" s="1369"/>
      <c r="Q335" s="1369"/>
      <c r="R335" s="1369"/>
      <c r="T335" s="113" t="s">
        <v>1177</v>
      </c>
      <c r="V335" s="2"/>
      <c r="W335" s="2"/>
      <c r="X335" s="2"/>
      <c r="Y335" s="2"/>
      <c r="AA335" s="1369" t="s">
        <v>1178</v>
      </c>
      <c r="AB335" s="1369"/>
      <c r="AC335" s="1369"/>
      <c r="AD335" s="1369"/>
      <c r="AE335" s="1369"/>
      <c r="AF335" s="1369"/>
      <c r="AG335" s="1369"/>
      <c r="AH335" s="1369"/>
      <c r="AI335" s="1369"/>
      <c r="AJ335" s="1369"/>
      <c r="AK335" s="1369"/>
    </row>
    <row r="336" spans="2:37" ht="13" customHeight="1">
      <c r="B336" s="2" t="s">
        <v>1122</v>
      </c>
      <c r="C336" s="2"/>
      <c r="D336" s="2"/>
      <c r="E336" s="2"/>
      <c r="F336" s="2"/>
      <c r="H336" s="1322" t="s">
        <v>1179</v>
      </c>
      <c r="I336" s="1322"/>
      <c r="J336" s="1322"/>
      <c r="K336" s="1322"/>
      <c r="L336" s="1322"/>
      <c r="M336" s="1322"/>
      <c r="N336" s="1322"/>
      <c r="O336" s="1322"/>
      <c r="P336" s="1322"/>
      <c r="Q336" s="1322"/>
      <c r="R336" s="1322"/>
      <c r="T336" s="2" t="s">
        <v>1122</v>
      </c>
      <c r="V336" s="2"/>
      <c r="W336" s="2"/>
      <c r="X336" s="2"/>
      <c r="Y336" s="2"/>
      <c r="AA336" s="1322" t="s">
        <v>1180</v>
      </c>
      <c r="AB336" s="1322"/>
      <c r="AC336" s="1322"/>
      <c r="AD336" s="1322"/>
      <c r="AE336" s="1322"/>
      <c r="AF336" s="1322"/>
      <c r="AG336" s="1322"/>
      <c r="AH336" s="1322"/>
      <c r="AI336" s="1322"/>
      <c r="AJ336" s="1322"/>
      <c r="AK336" s="1322"/>
    </row>
    <row r="337" spans="1:66" ht="13" customHeight="1">
      <c r="B337" s="2" t="s">
        <v>1126</v>
      </c>
      <c r="C337" s="2"/>
      <c r="D337" s="2"/>
      <c r="E337" s="2"/>
      <c r="F337" s="2"/>
      <c r="H337" s="1322" t="s">
        <v>1181</v>
      </c>
      <c r="I337" s="1322"/>
      <c r="J337" s="1322"/>
      <c r="K337" s="1322"/>
      <c r="L337" s="1322"/>
      <c r="M337" s="1322"/>
      <c r="N337" s="1322"/>
      <c r="O337" s="1322"/>
      <c r="P337" s="1322"/>
      <c r="Q337" s="1322"/>
      <c r="R337" s="1322"/>
      <c r="T337" s="2" t="s">
        <v>1126</v>
      </c>
      <c r="V337" s="2"/>
      <c r="W337" s="2"/>
      <c r="X337" s="2"/>
      <c r="Y337" s="2"/>
      <c r="AA337" s="1322" t="s">
        <v>1182</v>
      </c>
      <c r="AB337" s="1322"/>
      <c r="AC337" s="1322"/>
      <c r="AD337" s="1322"/>
      <c r="AE337" s="1322"/>
      <c r="AF337" s="1322"/>
      <c r="AG337" s="1322"/>
      <c r="AH337" s="1322"/>
      <c r="AI337" s="1322"/>
      <c r="AJ337" s="1322"/>
      <c r="AK337" s="1322"/>
    </row>
    <row r="338" spans="1:66" ht="13" customHeight="1">
      <c r="B338" s="2" t="s">
        <v>1068</v>
      </c>
      <c r="C338" s="2"/>
      <c r="D338" s="2"/>
      <c r="E338" s="2"/>
      <c r="F338" s="2"/>
      <c r="G338" s="2"/>
      <c r="H338" s="1322" t="s">
        <v>1183</v>
      </c>
      <c r="I338" s="1322"/>
      <c r="J338" s="1322"/>
      <c r="K338" s="1322"/>
      <c r="L338" s="1322"/>
      <c r="M338" s="1322"/>
      <c r="N338" s="1322"/>
      <c r="O338" s="1322"/>
      <c r="P338" s="1322"/>
      <c r="Q338" s="1322"/>
      <c r="R338" s="1322"/>
      <c r="T338" s="2" t="s">
        <v>1068</v>
      </c>
      <c r="V338" s="2"/>
      <c r="W338" s="2"/>
      <c r="X338" s="2"/>
      <c r="Y338" s="2"/>
      <c r="AA338" s="1322" t="s">
        <v>1184</v>
      </c>
      <c r="AB338" s="1322"/>
      <c r="AC338" s="1322"/>
      <c r="AD338" s="1322"/>
      <c r="AE338" s="1322"/>
      <c r="AF338" s="1322"/>
      <c r="AG338" s="1322"/>
      <c r="AH338" s="1322"/>
      <c r="AI338" s="1322"/>
      <c r="AJ338" s="1322"/>
      <c r="AK338" s="1322"/>
    </row>
    <row r="339" spans="1:66" ht="13" customHeight="1">
      <c r="B339" s="2" t="s">
        <v>1070</v>
      </c>
      <c r="C339" s="2"/>
      <c r="D339" s="2"/>
      <c r="E339" s="2"/>
      <c r="F339" s="2"/>
      <c r="G339" s="2"/>
      <c r="H339" s="1472" t="s">
        <v>1185</v>
      </c>
      <c r="I339" s="1472"/>
      <c r="J339" s="1472"/>
      <c r="K339" s="1472"/>
      <c r="L339" s="1472"/>
      <c r="M339" s="1472"/>
      <c r="N339" s="2" t="s">
        <v>1072</v>
      </c>
      <c r="O339" s="2"/>
      <c r="P339" s="1471"/>
      <c r="Q339" s="1471"/>
      <c r="R339" s="1471"/>
      <c r="S339" s="2"/>
      <c r="T339" s="2" t="s">
        <v>1070</v>
      </c>
      <c r="V339" s="2"/>
      <c r="W339" s="2"/>
      <c r="X339" s="2"/>
      <c r="Y339" s="2"/>
      <c r="AA339" s="1472" t="s">
        <v>1186</v>
      </c>
      <c r="AB339" s="1472"/>
      <c r="AC339" s="1472"/>
      <c r="AD339" s="1472"/>
      <c r="AE339" s="1472"/>
      <c r="AF339" s="1472"/>
      <c r="AG339" s="2" t="s">
        <v>1072</v>
      </c>
      <c r="AH339" s="2"/>
      <c r="AI339" s="1471"/>
      <c r="AJ339" s="1471"/>
      <c r="AK339" s="1471"/>
    </row>
    <row r="340" spans="1:66" ht="13" customHeight="1">
      <c r="B340" s="2" t="s">
        <v>1073</v>
      </c>
      <c r="C340" s="2"/>
      <c r="D340" s="2"/>
      <c r="E340" s="2"/>
      <c r="F340" s="2"/>
      <c r="G340" s="2"/>
      <c r="H340" s="1421" t="s">
        <v>1187</v>
      </c>
      <c r="I340" s="1421"/>
      <c r="J340" s="1421"/>
      <c r="K340" s="1421"/>
      <c r="L340" s="1421"/>
      <c r="M340" s="1421"/>
      <c r="N340" s="2"/>
      <c r="O340" s="2"/>
      <c r="P340" s="68"/>
      <c r="Q340" s="68"/>
      <c r="R340" s="68"/>
      <c r="S340" s="2"/>
      <c r="T340" s="2" t="s">
        <v>1073</v>
      </c>
      <c r="V340" s="2"/>
      <c r="W340" s="2"/>
      <c r="X340" s="2"/>
      <c r="Y340" s="2"/>
      <c r="AA340" s="1421" t="s">
        <v>1188</v>
      </c>
      <c r="AB340" s="1421"/>
      <c r="AC340" s="1421"/>
      <c r="AD340" s="1421"/>
      <c r="AE340" s="1421"/>
      <c r="AF340" s="1421"/>
      <c r="AG340" s="2"/>
      <c r="AH340" s="2"/>
      <c r="AI340" s="68"/>
      <c r="AJ340" s="68"/>
      <c r="AK340" s="68"/>
    </row>
    <row r="341" spans="1:66" ht="13" customHeight="1">
      <c r="B341" s="2" t="s">
        <v>1131</v>
      </c>
      <c r="C341" s="2"/>
      <c r="D341" s="2"/>
      <c r="E341" s="2"/>
      <c r="F341" s="2"/>
      <c r="G341" s="2"/>
      <c r="H341" s="1322" t="s">
        <v>1189</v>
      </c>
      <c r="I341" s="1322"/>
      <c r="J341" s="1322"/>
      <c r="K341" s="1322"/>
      <c r="L341" s="1322"/>
      <c r="M341" s="1322"/>
      <c r="N341" s="1369"/>
      <c r="O341" s="1369"/>
      <c r="P341" s="1369"/>
      <c r="Q341" s="1369"/>
      <c r="R341" s="1369"/>
      <c r="S341" s="2"/>
      <c r="T341" s="2" t="s">
        <v>1131</v>
      </c>
      <c r="V341" s="2"/>
      <c r="W341" s="2"/>
      <c r="X341" s="2"/>
      <c r="Y341" s="2"/>
      <c r="AA341" s="1322" t="s">
        <v>1190</v>
      </c>
      <c r="AB341" s="1322"/>
      <c r="AC341" s="1322"/>
      <c r="AD341" s="1322"/>
      <c r="AE341" s="1322"/>
      <c r="AF341" s="1322"/>
      <c r="AG341" s="1369"/>
      <c r="AH341" s="1369"/>
      <c r="AI341" s="1369"/>
      <c r="AJ341" s="1369"/>
      <c r="AK341" s="1369"/>
    </row>
    <row r="342" spans="1:66" ht="13"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800</v>
      </c>
    </row>
    <row r="343" spans="1:66" ht="13" customHeight="1">
      <c r="B343" s="2"/>
      <c r="C343" s="2"/>
      <c r="D343" s="2"/>
      <c r="E343" s="2"/>
      <c r="F343" s="2"/>
      <c r="I343" s="113" t="s">
        <v>1191</v>
      </c>
      <c r="P343" s="1369" t="s">
        <v>800</v>
      </c>
      <c r="Q343" s="1369"/>
      <c r="R343" s="1369"/>
      <c r="S343" s="1369"/>
      <c r="T343" s="1369"/>
      <c r="U343" s="1369"/>
      <c r="V343" s="1369"/>
      <c r="W343" s="1369"/>
      <c r="X343" s="1369"/>
      <c r="Y343" s="1369"/>
      <c r="Z343" s="1369"/>
      <c r="AA343" s="1369"/>
      <c r="AB343" s="1369"/>
      <c r="AC343" s="1369"/>
      <c r="AD343" s="1369"/>
      <c r="AE343" s="1369"/>
      <c r="BN343" t="s">
        <v>695</v>
      </c>
    </row>
    <row r="344" spans="1:66" ht="13" customHeight="1">
      <c r="B344" s="2"/>
      <c r="C344" s="2"/>
      <c r="D344" s="2"/>
      <c r="E344" s="2"/>
      <c r="F344" s="2"/>
      <c r="I344" s="2" t="s">
        <v>1122</v>
      </c>
      <c r="P344" s="1322"/>
      <c r="Q344" s="1322"/>
      <c r="R344" s="1322"/>
      <c r="S344" s="1322"/>
      <c r="T344" s="1322"/>
      <c r="U344" s="1322"/>
      <c r="V344" s="1322"/>
      <c r="W344" s="1322"/>
      <c r="X344" s="1322"/>
      <c r="Y344" s="1322"/>
      <c r="Z344" s="1322"/>
      <c r="AA344" s="1322"/>
      <c r="AB344" s="1322"/>
      <c r="AC344" s="1322"/>
      <c r="AD344" s="1322"/>
      <c r="AE344" s="1322"/>
      <c r="BN344" t="s">
        <v>847</v>
      </c>
    </row>
    <row r="345" spans="1:66" ht="13" customHeight="1">
      <c r="B345" s="2"/>
      <c r="C345" s="2"/>
      <c r="D345" s="2"/>
      <c r="E345" s="2"/>
      <c r="F345" s="2"/>
      <c r="I345" s="2" t="s">
        <v>1126</v>
      </c>
      <c r="P345" s="1322"/>
      <c r="Q345" s="1322"/>
      <c r="R345" s="1322"/>
      <c r="S345" s="1322"/>
      <c r="T345" s="1322"/>
      <c r="U345" s="1322"/>
      <c r="V345" s="1322"/>
      <c r="W345" s="1322"/>
      <c r="X345" s="1322"/>
      <c r="Y345" s="1322"/>
      <c r="Z345" s="1322"/>
      <c r="AA345" s="1322"/>
      <c r="AB345" s="1322"/>
      <c r="AC345" s="1322"/>
      <c r="AD345" s="1322"/>
      <c r="AE345" s="1322"/>
    </row>
    <row r="346" spans="1:66" ht="13" customHeight="1">
      <c r="B346" s="2"/>
      <c r="C346" s="2"/>
      <c r="D346" s="2"/>
      <c r="E346" s="2"/>
      <c r="F346" s="2"/>
      <c r="G346" s="2"/>
      <c r="I346" s="2" t="s">
        <v>1068</v>
      </c>
      <c r="P346" s="1322"/>
      <c r="Q346" s="1322"/>
      <c r="R346" s="1322"/>
      <c r="S346" s="1322"/>
      <c r="T346" s="1322"/>
      <c r="U346" s="1322"/>
      <c r="V346" s="1322"/>
      <c r="W346" s="1322"/>
      <c r="X346" s="1322"/>
      <c r="Y346" s="1322"/>
      <c r="Z346" s="1322"/>
      <c r="AA346" s="1322"/>
      <c r="AB346" s="1322"/>
      <c r="AC346" s="1322"/>
      <c r="AD346" s="1322"/>
      <c r="AE346" s="1322"/>
    </row>
    <row r="347" spans="1:66" ht="13" customHeight="1">
      <c r="B347" s="2"/>
      <c r="C347" s="2"/>
      <c r="D347" s="2"/>
      <c r="E347" s="2"/>
      <c r="F347" s="2"/>
      <c r="G347" s="2"/>
      <c r="H347" s="1156"/>
      <c r="I347" s="2" t="s">
        <v>1070</v>
      </c>
      <c r="P347" s="1421"/>
      <c r="Q347" s="1421"/>
      <c r="R347" s="1421"/>
      <c r="S347" s="1421"/>
      <c r="T347" s="1421"/>
      <c r="U347" s="1421"/>
      <c r="V347" s="1421"/>
      <c r="W347" s="1421"/>
      <c r="X347" s="1421"/>
      <c r="Y347" s="1421"/>
      <c r="Z347" s="1421"/>
      <c r="AA347" s="2" t="s">
        <v>1072</v>
      </c>
      <c r="AB347" s="2"/>
      <c r="AC347" s="1370"/>
      <c r="AD347" s="1370"/>
      <c r="AE347" s="1370"/>
      <c r="AF347" s="1156"/>
      <c r="AG347" s="2"/>
      <c r="AH347" s="2"/>
      <c r="AI347" s="2"/>
      <c r="AJ347" s="2"/>
      <c r="AK347" s="2"/>
    </row>
    <row r="348" spans="1:66" ht="13" customHeight="1">
      <c r="B348" s="2"/>
      <c r="C348" s="2"/>
      <c r="D348" s="2"/>
      <c r="E348" s="2"/>
      <c r="F348" s="2"/>
      <c r="G348" s="2"/>
      <c r="H348" s="1156"/>
      <c r="I348" s="2" t="s">
        <v>1073</v>
      </c>
      <c r="P348" s="1421"/>
      <c r="Q348" s="1421"/>
      <c r="R348" s="1421"/>
      <c r="S348" s="1421"/>
      <c r="T348" s="1421"/>
      <c r="U348" s="1421"/>
      <c r="V348" s="1421"/>
      <c r="W348" s="1421"/>
      <c r="X348" s="1421"/>
      <c r="Y348" s="1421"/>
      <c r="Z348" s="1421"/>
      <c r="AF348" s="1156"/>
      <c r="AG348" s="2"/>
      <c r="AH348" s="2"/>
      <c r="AI348" s="68"/>
      <c r="AJ348" s="68"/>
      <c r="AK348" s="68"/>
    </row>
    <row r="349" spans="1:66" ht="13" customHeight="1">
      <c r="B349" s="2"/>
      <c r="C349" s="2"/>
      <c r="D349" s="2"/>
      <c r="E349" s="2"/>
      <c r="F349" s="2"/>
      <c r="G349" s="2"/>
      <c r="I349" s="2" t="s">
        <v>1131</v>
      </c>
      <c r="P349" s="1369"/>
      <c r="Q349" s="1369"/>
      <c r="R349" s="1369"/>
      <c r="S349" s="1369"/>
      <c r="T349" s="1369"/>
      <c r="U349" s="1369"/>
      <c r="V349" s="1369"/>
      <c r="W349" s="1369"/>
      <c r="X349" s="1369"/>
      <c r="Y349" s="1369"/>
      <c r="Z349" s="1369"/>
      <c r="AA349" s="1369"/>
      <c r="AB349" s="1369"/>
      <c r="AC349" s="1369"/>
      <c r="AD349" s="1369"/>
      <c r="AE349" s="1369"/>
    </row>
    <row r="350" spans="1:66" ht="13" customHeight="1">
      <c r="T350" s="6"/>
      <c r="U350" s="6"/>
      <c r="V350" s="6"/>
      <c r="W350" s="6"/>
      <c r="X350" s="6"/>
      <c r="Y350" s="6"/>
      <c r="Z350" s="6"/>
      <c r="AU350" s="54"/>
      <c r="AV350" s="54"/>
      <c r="AW350" s="54"/>
      <c r="AX350" s="54"/>
      <c r="AY350" s="54"/>
    </row>
    <row r="351" spans="1:66" ht="13" customHeight="1">
      <c r="A351" s="1486" t="s">
        <v>1192</v>
      </c>
      <c r="B351" s="1486"/>
      <c r="C351" s="1486"/>
      <c r="D351" s="1486"/>
      <c r="E351" s="1486"/>
      <c r="F351" s="1486"/>
      <c r="G351" s="1486"/>
      <c r="H351" s="1486"/>
      <c r="I351" s="1486"/>
      <c r="J351" s="1486"/>
      <c r="K351" s="1486"/>
      <c r="L351" s="1486"/>
      <c r="M351" s="1486"/>
      <c r="N351" s="1486"/>
      <c r="O351" s="1486"/>
      <c r="P351" s="1486"/>
      <c r="Q351" s="1486"/>
      <c r="R351" s="1486"/>
      <c r="S351" s="1486"/>
      <c r="T351" s="1486"/>
      <c r="U351" s="1486"/>
      <c r="V351" s="1486"/>
      <c r="W351" s="1486"/>
      <c r="X351" s="1486"/>
      <c r="Y351" s="1486"/>
      <c r="Z351" s="1486"/>
      <c r="AA351" s="1486"/>
      <c r="AB351" s="1486"/>
      <c r="AC351" s="1486"/>
      <c r="AD351" s="1486"/>
      <c r="AE351" s="1486"/>
      <c r="AF351" s="1486"/>
      <c r="AG351" s="1486"/>
      <c r="AH351" s="1486"/>
      <c r="AI351" s="1486"/>
      <c r="AJ351" s="1486"/>
      <c r="AK351" s="1486"/>
      <c r="AL351" s="1486"/>
      <c r="AM351" s="1486"/>
      <c r="AN351" s="1486"/>
      <c r="AO351" s="1486"/>
      <c r="AP351" s="1486"/>
      <c r="AQ351" s="1486"/>
      <c r="AR351" s="1486"/>
      <c r="AS351" s="1486"/>
      <c r="AT351" s="1486"/>
      <c r="AU351" s="54"/>
      <c r="AV351" s="54"/>
      <c r="AW351" s="54"/>
      <c r="AX351" s="54"/>
      <c r="AY351" s="54"/>
    </row>
    <row r="352" spans="1:66" ht="13" customHeight="1">
      <c r="A352" s="1486"/>
      <c r="B352" s="1486"/>
      <c r="C352" s="1486"/>
      <c r="D352" s="1486"/>
      <c r="E352" s="1486"/>
      <c r="F352" s="1486"/>
      <c r="G352" s="1486"/>
      <c r="H352" s="1486"/>
      <c r="I352" s="1486"/>
      <c r="J352" s="1486"/>
      <c r="K352" s="1486"/>
      <c r="L352" s="1486"/>
      <c r="M352" s="1486"/>
      <c r="N352" s="1486"/>
      <c r="O352" s="1486"/>
      <c r="P352" s="1486"/>
      <c r="Q352" s="1486"/>
      <c r="R352" s="1486"/>
      <c r="S352" s="1486"/>
      <c r="T352" s="1486"/>
      <c r="U352" s="1486"/>
      <c r="V352" s="1486"/>
      <c r="W352" s="1486"/>
      <c r="X352" s="1486"/>
      <c r="Y352" s="1486"/>
      <c r="Z352" s="1486"/>
      <c r="AA352" s="1486"/>
      <c r="AB352" s="1486"/>
      <c r="AC352" s="1486"/>
      <c r="AD352" s="1486"/>
      <c r="AE352" s="1486"/>
      <c r="AF352" s="1486"/>
      <c r="AG352" s="1486"/>
      <c r="AH352" s="1486"/>
      <c r="AI352" s="1486"/>
      <c r="AJ352" s="1486"/>
      <c r="AK352" s="1486"/>
      <c r="AL352" s="1486"/>
      <c r="AM352" s="1486"/>
      <c r="AN352" s="1486"/>
      <c r="AO352" s="1486"/>
      <c r="AP352" s="1486"/>
      <c r="AQ352" s="1486"/>
      <c r="AR352" s="1486"/>
      <c r="AS352" s="1486"/>
      <c r="AT352" s="1486"/>
      <c r="AU352" s="19"/>
      <c r="AV352" s="19"/>
      <c r="AW352" s="19"/>
      <c r="AX352" s="19"/>
      <c r="AY352" s="19"/>
    </row>
    <row r="353" spans="1:46" ht="13"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 customHeight="1">
      <c r="A354" s="1" t="s">
        <v>872</v>
      </c>
      <c r="B354" s="1"/>
      <c r="C354" s="1" t="s">
        <v>1193</v>
      </c>
    </row>
    <row r="355" spans="1:46" ht="13" customHeight="1">
      <c r="D355" s="2" t="s">
        <v>687</v>
      </c>
      <c r="M355" s="1353" t="s">
        <v>847</v>
      </c>
      <c r="N355" s="1353"/>
      <c r="P355" t="s">
        <v>1194</v>
      </c>
      <c r="AJ355" s="1353" t="s">
        <v>800</v>
      </c>
      <c r="AK355" s="1353"/>
    </row>
    <row r="356" spans="1:46" ht="13" customHeight="1">
      <c r="D356" s="2" t="s">
        <v>685</v>
      </c>
      <c r="M356" s="1353" t="s">
        <v>800</v>
      </c>
      <c r="N356" s="1353"/>
      <c r="P356" s="2" t="s">
        <v>1195</v>
      </c>
      <c r="AJ356" s="1333"/>
      <c r="AK356" s="1333"/>
    </row>
    <row r="357" spans="1:46" ht="13" customHeight="1">
      <c r="D357" s="2" t="s">
        <v>1196</v>
      </c>
      <c r="M357" s="1353" t="s">
        <v>800</v>
      </c>
      <c r="N357" s="1353"/>
      <c r="P357" t="s">
        <v>1197</v>
      </c>
      <c r="AJ357" s="1353" t="s">
        <v>800</v>
      </c>
      <c r="AK357" s="1353"/>
    </row>
    <row r="358" spans="1:46" ht="13" customHeight="1">
      <c r="D358" s="2" t="s">
        <v>1198</v>
      </c>
      <c r="M358" s="1353" t="s">
        <v>800</v>
      </c>
      <c r="N358" s="1353"/>
      <c r="Q358" s="2"/>
    </row>
    <row r="359" spans="1:46" ht="13" customHeight="1">
      <c r="Q359" s="2"/>
    </row>
    <row r="360" spans="1:46" ht="13" customHeight="1">
      <c r="Q360" s="2"/>
    </row>
    <row r="361" spans="1:46" ht="13" customHeight="1">
      <c r="A361" s="1" t="s">
        <v>913</v>
      </c>
      <c r="B361" s="1"/>
      <c r="C361" s="1" t="s">
        <v>1199</v>
      </c>
      <c r="D361" s="1"/>
    </row>
    <row r="362" spans="1:46" ht="13" customHeight="1">
      <c r="D362" s="28" t="s">
        <v>1200</v>
      </c>
      <c r="E362" s="1104"/>
      <c r="F362" s="1104"/>
      <c r="G362" s="1104"/>
      <c r="H362" s="1104"/>
      <c r="I362" s="1104"/>
      <c r="J362" s="1104"/>
      <c r="K362" s="1104"/>
      <c r="L362" s="1104"/>
      <c r="M362" s="1104"/>
      <c r="N362" s="1104"/>
      <c r="O362" s="1104"/>
      <c r="P362" s="1104"/>
      <c r="Q362" s="1104"/>
      <c r="R362" s="1104"/>
      <c r="S362" s="1104"/>
      <c r="T362" s="1104"/>
      <c r="U362" s="1104"/>
      <c r="V362" s="1104"/>
      <c r="W362" s="1104"/>
      <c r="X362" s="1104"/>
      <c r="Y362" s="1104"/>
      <c r="Z362" s="1104"/>
      <c r="AA362" s="1104"/>
      <c r="AB362" s="1104"/>
      <c r="AC362" s="1104"/>
      <c r="AD362" s="1104"/>
      <c r="AE362" s="1104"/>
    </row>
    <row r="363" spans="1:46" ht="13" customHeight="1">
      <c r="D363" s="28" t="s">
        <v>1201</v>
      </c>
      <c r="E363" s="1104"/>
      <c r="F363" s="1104"/>
      <c r="G363" s="1104"/>
      <c r="H363" s="1104"/>
      <c r="I363" s="1104"/>
      <c r="J363" s="1104"/>
      <c r="K363" s="1104"/>
      <c r="L363" s="1104"/>
      <c r="M363" s="1104"/>
      <c r="N363" s="1353" t="s">
        <v>800</v>
      </c>
      <c r="O363" s="1353"/>
      <c r="P363" s="1104"/>
      <c r="Q363" s="1104"/>
      <c r="R363" s="1104"/>
      <c r="S363" s="1104"/>
      <c r="T363" s="1104"/>
      <c r="U363" s="1104"/>
      <c r="V363" s="1104"/>
      <c r="W363" s="1104"/>
      <c r="X363" s="1104"/>
      <c r="Y363" s="1104"/>
      <c r="Z363" s="1104"/>
      <c r="AC363" s="1104"/>
      <c r="AD363" s="1104"/>
      <c r="AE363" s="1104"/>
    </row>
    <row r="364" spans="1:46" ht="13" customHeight="1">
      <c r="E364" t="s">
        <v>1202</v>
      </c>
      <c r="Y364" s="1353" t="s">
        <v>800</v>
      </c>
      <c r="Z364" s="1353"/>
    </row>
    <row r="365" spans="1:46" ht="13" customHeight="1">
      <c r="D365" s="2" t="s">
        <v>1203</v>
      </c>
      <c r="Q365" s="1369"/>
      <c r="R365" s="1369"/>
      <c r="S365" s="1369"/>
      <c r="T365" s="1369"/>
      <c r="U365" s="1369"/>
      <c r="V365" s="1369"/>
      <c r="W365" s="1369"/>
      <c r="X365" s="1369"/>
      <c r="Y365" s="1369"/>
      <c r="Z365" s="1369"/>
      <c r="AA365" s="1369"/>
      <c r="AB365" s="1369"/>
      <c r="AC365" s="1369"/>
      <c r="AD365" s="1369"/>
      <c r="AE365" s="1369"/>
      <c r="AF365" s="1369"/>
      <c r="AG365" s="1369"/>
    </row>
    <row r="366" spans="1:46" ht="13" customHeight="1">
      <c r="D366" t="s">
        <v>1204</v>
      </c>
      <c r="E366" s="1104"/>
      <c r="F366" s="1104"/>
      <c r="G366" s="1104"/>
      <c r="H366" s="1104"/>
      <c r="I366" s="1104"/>
      <c r="J366" s="1104"/>
      <c r="K366" s="1104"/>
      <c r="L366" s="1104"/>
      <c r="M366" s="1104"/>
      <c r="N366" s="1104"/>
      <c r="O366" s="1104"/>
      <c r="P366" s="1104"/>
      <c r="Q366" s="1104"/>
      <c r="R366" s="1104"/>
      <c r="S366" s="1104"/>
      <c r="T366" s="1104"/>
      <c r="U366" s="1104"/>
      <c r="V366" s="1104"/>
      <c r="W366" s="1104"/>
      <c r="X366" s="1104"/>
      <c r="Y366" s="1104"/>
      <c r="Z366" s="1104"/>
      <c r="AA366" s="1104"/>
      <c r="AB366" s="1104"/>
      <c r="AC366" s="1104"/>
      <c r="AD366" s="1104"/>
      <c r="AE366" s="1104"/>
    </row>
    <row r="367" spans="1:46" ht="13" customHeight="1">
      <c r="D367" t="s">
        <v>1205</v>
      </c>
      <c r="E367" s="1104"/>
      <c r="F367" s="1104"/>
      <c r="G367" s="1104"/>
      <c r="H367" s="1104"/>
      <c r="I367" s="1104"/>
      <c r="J367" s="1353" t="s">
        <v>800</v>
      </c>
      <c r="K367" s="1353"/>
      <c r="L367" s="1104"/>
      <c r="M367" s="1104"/>
      <c r="N367" s="1104"/>
      <c r="O367" s="1104"/>
      <c r="P367" s="1104"/>
      <c r="Q367" s="1104"/>
      <c r="R367" s="1104"/>
      <c r="S367" s="1104"/>
      <c r="T367" s="1104"/>
      <c r="U367" s="1104"/>
      <c r="V367" s="1104"/>
      <c r="W367" s="1104"/>
      <c r="X367" s="1104"/>
      <c r="Y367" s="1104"/>
      <c r="Z367" s="1104"/>
      <c r="AC367" s="1104"/>
      <c r="AD367" s="1104"/>
      <c r="AE367" s="1104"/>
    </row>
    <row r="368" spans="1:46" ht="13" customHeight="1">
      <c r="E368" s="1217" t="s">
        <v>1206</v>
      </c>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4" ht="13" customHeight="1">
      <c r="E369" s="1217"/>
      <c r="F369" s="1217"/>
      <c r="G369" s="1217"/>
      <c r="H369" s="1217"/>
      <c r="I369" s="1217"/>
      <c r="J369" s="1217"/>
      <c r="K369" s="1217"/>
      <c r="L369" s="1217"/>
      <c r="M369" s="1217"/>
      <c r="N369" s="1217"/>
      <c r="O369" s="1217"/>
      <c r="P369" s="1217"/>
      <c r="Q369" s="1217"/>
      <c r="R369" s="1217"/>
      <c r="S369" s="1217"/>
      <c r="T369" s="1217"/>
      <c r="U369" s="1217"/>
      <c r="V369" s="1217"/>
      <c r="W369" s="1217"/>
      <c r="X369" s="1217"/>
      <c r="Y369" s="1217"/>
      <c r="Z369" s="1217"/>
      <c r="AA369" s="1217"/>
      <c r="AB369" s="1217"/>
      <c r="AC369" s="1217"/>
      <c r="AD369" s="1217"/>
      <c r="AE369" s="1217"/>
      <c r="AF369" s="1217"/>
      <c r="AG369" s="1217"/>
      <c r="AH369" s="1217"/>
    </row>
    <row r="370" spans="1:34" ht="13" customHeight="1">
      <c r="E370" s="2" t="s">
        <v>1207</v>
      </c>
      <c r="F370" s="2"/>
      <c r="G370" s="2"/>
      <c r="H370" s="2"/>
      <c r="I370" s="2"/>
      <c r="J370" s="2"/>
      <c r="K370" s="2"/>
      <c r="L370" s="2"/>
      <c r="N370" s="1340"/>
      <c r="O370" s="1340"/>
      <c r="P370" s="1340"/>
      <c r="Q370" s="1340"/>
      <c r="R370" s="2"/>
      <c r="U370" s="2" t="s">
        <v>1208</v>
      </c>
      <c r="V370" s="2"/>
      <c r="W370" s="2"/>
      <c r="X370" s="2"/>
      <c r="Y370" s="2"/>
      <c r="Z370" s="2"/>
      <c r="AA370" s="2"/>
      <c r="AB370" s="2"/>
      <c r="AC370" s="1340"/>
      <c r="AD370" s="1340"/>
      <c r="AE370" s="1340"/>
      <c r="AF370" s="1340"/>
    </row>
    <row r="371" spans="1:34" ht="13" customHeight="1">
      <c r="E371" s="2" t="s">
        <v>1209</v>
      </c>
      <c r="F371" s="2"/>
      <c r="G371" s="2"/>
      <c r="H371" s="2"/>
      <c r="I371" s="2"/>
      <c r="J371" s="2"/>
      <c r="K371" s="2"/>
      <c r="L371" s="2"/>
      <c r="N371" s="1340"/>
      <c r="O371" s="1340"/>
      <c r="P371" s="1340"/>
      <c r="Q371" s="1340"/>
      <c r="R371" s="2"/>
      <c r="U371" s="2" t="s">
        <v>1210</v>
      </c>
      <c r="V371" s="2"/>
      <c r="W371" s="2"/>
      <c r="X371" s="2"/>
      <c r="Y371" s="2"/>
      <c r="Z371" s="2"/>
      <c r="AA371" s="2"/>
      <c r="AB371" s="2"/>
      <c r="AC371" s="1340"/>
      <c r="AD371" s="1340"/>
      <c r="AE371" s="1340"/>
      <c r="AF371" s="1340"/>
    </row>
    <row r="372" spans="1:34" ht="13" customHeight="1">
      <c r="E372" s="2" t="s">
        <v>1211</v>
      </c>
      <c r="F372" s="2"/>
      <c r="G372" s="2"/>
      <c r="H372" s="2"/>
      <c r="I372" s="2"/>
      <c r="J372" s="2"/>
      <c r="K372" s="2"/>
      <c r="L372" s="2"/>
      <c r="N372" s="1340"/>
      <c r="O372" s="1340"/>
      <c r="P372" s="1340"/>
      <c r="Q372" s="1340"/>
      <c r="R372" s="2"/>
      <c r="V372" s="2"/>
      <c r="W372" s="2"/>
      <c r="X372" s="2"/>
      <c r="Y372" s="2"/>
      <c r="Z372" s="2"/>
      <c r="AA372" s="2"/>
      <c r="AB372" s="2"/>
    </row>
    <row r="373" spans="1:34" ht="13" customHeight="1">
      <c r="E373" s="2" t="s">
        <v>1212</v>
      </c>
      <c r="F373" s="2"/>
      <c r="G373" s="2"/>
      <c r="H373" s="2"/>
      <c r="I373" s="2"/>
      <c r="J373" s="2"/>
      <c r="K373" s="2"/>
      <c r="L373" s="2"/>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3" customHeight="1">
      <c r="E374" s="2"/>
      <c r="F374" s="2"/>
      <c r="G374" s="2"/>
      <c r="H374" s="2"/>
      <c r="I374" s="2"/>
      <c r="J374" s="2"/>
      <c r="K374" s="2"/>
      <c r="L374" s="2"/>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3" customHeight="1">
      <c r="C375" s="363"/>
      <c r="E375" s="2"/>
      <c r="F375" s="2"/>
      <c r="G375" s="2"/>
      <c r="H375" s="2"/>
      <c r="I375" s="2"/>
      <c r="J375" s="2"/>
      <c r="K375" s="2"/>
      <c r="L375" s="2"/>
    </row>
    <row r="376" spans="1:34" ht="13" customHeight="1">
      <c r="D376" s="1" t="s">
        <v>1213</v>
      </c>
      <c r="E376" s="1"/>
      <c r="F376" s="2"/>
      <c r="G376" s="2"/>
      <c r="H376" s="2"/>
      <c r="I376" s="2"/>
      <c r="J376" s="2"/>
      <c r="K376" s="2"/>
      <c r="L376" s="2"/>
    </row>
    <row r="377" spans="1:34" ht="13" customHeight="1">
      <c r="E377" s="2" t="s">
        <v>1214</v>
      </c>
      <c r="F377" s="2"/>
      <c r="G377" s="2"/>
      <c r="H377" s="2"/>
      <c r="I377" s="2"/>
      <c r="J377" s="2"/>
      <c r="K377" s="2"/>
      <c r="L377" s="2"/>
      <c r="N377" t="s">
        <v>889</v>
      </c>
      <c r="R377" s="21" t="s">
        <v>890</v>
      </c>
      <c r="S377" s="1453"/>
      <c r="T377" s="1453"/>
      <c r="U377" s="1063" t="s">
        <v>891</v>
      </c>
      <c r="V377" s="1453"/>
      <c r="W377" s="1453"/>
      <c r="Y377" t="s">
        <v>889</v>
      </c>
      <c r="AC377" s="21" t="s">
        <v>890</v>
      </c>
      <c r="AD377" s="1453"/>
      <c r="AE377" s="1453"/>
      <c r="AF377" s="1063" t="s">
        <v>891</v>
      </c>
      <c r="AG377" s="1453"/>
      <c r="AH377" s="1453"/>
    </row>
    <row r="378" spans="1:34" ht="13" customHeight="1">
      <c r="E378" s="2" t="s">
        <v>1215</v>
      </c>
      <c r="F378" s="2"/>
      <c r="G378" s="2"/>
      <c r="H378" s="2"/>
      <c r="I378" s="2"/>
      <c r="J378" s="2"/>
      <c r="K378" s="2"/>
      <c r="L378" s="2"/>
      <c r="N378" s="1453"/>
      <c r="O378" s="1453"/>
      <c r="P378" s="1453"/>
    </row>
    <row r="379" spans="1:34" ht="13" customHeight="1">
      <c r="E379" s="113" t="s">
        <v>1216</v>
      </c>
      <c r="F379" s="2"/>
      <c r="G379" s="2"/>
      <c r="H379" s="2"/>
      <c r="I379" s="2"/>
      <c r="J379" s="2"/>
      <c r="K379" s="2"/>
      <c r="L379" s="2"/>
      <c r="AG379" s="1376" t="s">
        <v>800</v>
      </c>
      <c r="AH379" s="1376"/>
    </row>
    <row r="380" spans="1:34" ht="13" customHeight="1">
      <c r="E380" s="2"/>
      <c r="F380" s="2"/>
      <c r="G380" s="2" t="s">
        <v>1217</v>
      </c>
      <c r="H380" s="2"/>
      <c r="I380" s="2"/>
      <c r="J380" s="2"/>
      <c r="K380" s="2"/>
      <c r="L380" s="2"/>
      <c r="AG380" s="1376" t="s">
        <v>800</v>
      </c>
      <c r="AH380" s="1376"/>
    </row>
    <row r="381" spans="1:34" ht="13" customHeight="1">
      <c r="E381" s="2"/>
      <c r="F381" s="2"/>
      <c r="G381" s="199" t="s">
        <v>1218</v>
      </c>
      <c r="H381" s="2"/>
      <c r="I381" s="2"/>
      <c r="J381" s="2"/>
      <c r="K381" s="2"/>
      <c r="L381" s="2"/>
      <c r="V381" s="1353" t="s">
        <v>800</v>
      </c>
      <c r="W381" s="1353"/>
      <c r="Y381" s="17" t="s">
        <v>1219</v>
      </c>
    </row>
    <row r="382" spans="1:34" ht="13" customHeight="1">
      <c r="E382" s="2" t="s">
        <v>1220</v>
      </c>
      <c r="F382" s="2"/>
      <c r="G382" s="2"/>
      <c r="H382" s="2"/>
      <c r="I382" s="2"/>
      <c r="J382" s="2"/>
      <c r="K382" s="2"/>
      <c r="L382" s="2"/>
      <c r="V382" s="1353" t="s">
        <v>800</v>
      </c>
      <c r="W382" s="1353"/>
      <c r="Y382" s="2" t="s">
        <v>1221</v>
      </c>
    </row>
    <row r="383" spans="1:34" ht="13" customHeight="1"/>
    <row r="384" spans="1:34" ht="13" customHeight="1">
      <c r="A384" s="1" t="s">
        <v>1222</v>
      </c>
      <c r="B384" s="1"/>
    </row>
    <row r="385" spans="4:36" ht="13" customHeight="1">
      <c r="D385" t="s">
        <v>1223</v>
      </c>
      <c r="J385" s="1369" t="s">
        <v>1224</v>
      </c>
      <c r="K385" s="1369"/>
      <c r="L385" s="1369"/>
      <c r="M385" s="1369"/>
      <c r="N385" s="1369"/>
      <c r="O385" s="1369"/>
      <c r="P385" s="1369"/>
      <c r="Q385" s="1369"/>
      <c r="R385" s="1369"/>
      <c r="S385" s="1369"/>
      <c r="T385" s="1369"/>
      <c r="U385" s="1369"/>
      <c r="V385" s="6" t="s">
        <v>1225</v>
      </c>
      <c r="W385" s="6"/>
      <c r="X385" s="6"/>
      <c r="Y385" s="6"/>
      <c r="Z385" s="6"/>
      <c r="AA385" s="6"/>
      <c r="AB385" s="6"/>
      <c r="AC385" s="1369" t="s">
        <v>1099</v>
      </c>
      <c r="AD385" s="1369"/>
      <c r="AE385" s="1369"/>
      <c r="AF385" s="1369"/>
      <c r="AG385" s="1369"/>
      <c r="AH385" s="1369"/>
      <c r="AI385" s="1369"/>
      <c r="AJ385" s="1369"/>
    </row>
    <row r="386" spans="4:36" ht="13" customHeight="1">
      <c r="D386" s="2" t="s">
        <v>1226</v>
      </c>
      <c r="J386" s="1322" t="s">
        <v>1099</v>
      </c>
      <c r="K386" s="1322"/>
      <c r="L386" s="1322"/>
      <c r="M386" s="1322"/>
      <c r="N386" s="1322"/>
      <c r="O386" s="1322"/>
      <c r="P386" s="1322"/>
      <c r="Q386" s="1322"/>
      <c r="R386" s="1322"/>
      <c r="S386" s="1322"/>
      <c r="T386" s="1322"/>
      <c r="U386" s="1322"/>
      <c r="V386" s="2" t="s">
        <v>1226</v>
      </c>
      <c r="W386" s="6"/>
      <c r="X386" s="6"/>
      <c r="Y386" s="6"/>
      <c r="Z386" s="6"/>
      <c r="AA386" s="6"/>
      <c r="AB386" s="6"/>
      <c r="AC386" s="1369"/>
      <c r="AD386" s="1369"/>
      <c r="AE386" s="1369"/>
      <c r="AF386" s="1369"/>
      <c r="AG386" s="1369"/>
      <c r="AH386" s="1369"/>
      <c r="AI386" s="1369"/>
      <c r="AJ386" s="1369"/>
    </row>
    <row r="387" spans="4:36" ht="13" customHeight="1">
      <c r="D387" s="2" t="s">
        <v>812</v>
      </c>
      <c r="J387" s="1322" t="s">
        <v>1227</v>
      </c>
      <c r="K387" s="1322"/>
      <c r="L387" s="1322"/>
      <c r="M387" s="1322"/>
      <c r="N387" s="1322"/>
      <c r="O387" s="1322"/>
      <c r="P387" s="1322"/>
      <c r="Q387" s="1322"/>
      <c r="R387" s="1322"/>
      <c r="S387" s="1322"/>
      <c r="T387" s="1322"/>
      <c r="U387" s="1322"/>
      <c r="V387" s="2" t="s">
        <v>812</v>
      </c>
      <c r="W387" s="6"/>
      <c r="X387" s="6"/>
      <c r="Y387" s="6"/>
      <c r="Z387" s="6"/>
      <c r="AA387" s="6"/>
      <c r="AB387" s="6"/>
      <c r="AC387" s="1369"/>
      <c r="AD387" s="1369"/>
      <c r="AE387" s="1369"/>
      <c r="AF387" s="1369"/>
      <c r="AG387" s="1369"/>
      <c r="AH387" s="1369"/>
      <c r="AI387" s="1369"/>
      <c r="AJ387" s="1369"/>
    </row>
    <row r="388" spans="4:36" ht="13" customHeight="1">
      <c r="D388" t="s">
        <v>1228</v>
      </c>
      <c r="J388" s="1362" t="s">
        <v>1229</v>
      </c>
      <c r="K388" s="1362"/>
      <c r="L388" s="1362"/>
      <c r="M388" s="1362"/>
      <c r="N388" s="1362"/>
      <c r="O388" s="1362"/>
      <c r="P388" s="1362"/>
      <c r="Q388" s="1362"/>
      <c r="R388" s="1362"/>
      <c r="S388" s="1362"/>
      <c r="T388" s="1362"/>
      <c r="U388" s="1362"/>
      <c r="V388" s="1369"/>
      <c r="W388" s="1369"/>
      <c r="X388" s="1369"/>
      <c r="Y388" s="1369"/>
      <c r="Z388" s="1369"/>
      <c r="AA388" s="1369"/>
      <c r="AB388" s="1369"/>
      <c r="AC388" s="1369"/>
      <c r="AD388" s="1369"/>
      <c r="AE388" s="1369"/>
      <c r="AF388" s="1369"/>
      <c r="AG388" s="1369"/>
      <c r="AH388" s="1369"/>
      <c r="AI388" s="1369"/>
      <c r="AJ388" s="1369"/>
    </row>
    <row r="389" spans="4:36" ht="13" customHeight="1">
      <c r="D389" t="s">
        <v>1230</v>
      </c>
      <c r="Q389" s="1520">
        <v>45057</v>
      </c>
      <c r="R389" s="1520"/>
      <c r="S389" s="1520"/>
      <c r="T389" s="1520"/>
      <c r="U389" s="1520"/>
      <c r="V389" t="s">
        <v>1231</v>
      </c>
      <c r="AI389" s="1353" t="s">
        <v>847</v>
      </c>
      <c r="AJ389" s="1353"/>
    </row>
    <row r="390" spans="4:36" ht="13" customHeight="1">
      <c r="D390" t="s">
        <v>1232</v>
      </c>
      <c r="Q390" s="1469" t="s">
        <v>800</v>
      </c>
      <c r="R390" s="1470"/>
      <c r="S390" s="1470"/>
      <c r="T390" s="1470"/>
      <c r="U390" s="1470"/>
      <c r="W390" s="16" t="s">
        <v>1233</v>
      </c>
      <c r="AG390" s="1378"/>
      <c r="AH390" s="1378"/>
      <c r="AI390" s="1378"/>
      <c r="AJ390" s="1378"/>
    </row>
    <row r="391" spans="4:36" ht="13" customHeight="1">
      <c r="D391" t="s">
        <v>1234</v>
      </c>
      <c r="Q391" s="1379">
        <v>1</v>
      </c>
      <c r="R391" s="1379"/>
      <c r="S391" s="1379"/>
      <c r="T391" s="1379"/>
      <c r="U391" s="1379"/>
      <c r="V391" s="2" t="s">
        <v>1235</v>
      </c>
      <c r="AG391" s="1467">
        <v>45901</v>
      </c>
      <c r="AH391" s="1467"/>
      <c r="AI391" s="1467"/>
      <c r="AJ391" s="1467"/>
    </row>
    <row r="392" spans="4:36" ht="13" customHeight="1">
      <c r="D392" t="s">
        <v>1070</v>
      </c>
      <c r="I392" s="1472" t="s">
        <v>1100</v>
      </c>
      <c r="J392" s="1472"/>
      <c r="K392" s="1472"/>
      <c r="L392" s="1472"/>
      <c r="M392" s="1472"/>
      <c r="N392" s="1472"/>
      <c r="Q392" s="2" t="s">
        <v>1072</v>
      </c>
      <c r="S392" s="1377"/>
      <c r="T392" s="1377"/>
      <c r="U392" s="1377"/>
      <c r="V392" t="s">
        <v>1236</v>
      </c>
      <c r="AI392" s="1353" t="s">
        <v>695</v>
      </c>
      <c r="AJ392" s="1353"/>
    </row>
    <row r="393" spans="4:36" ht="13" customHeight="1">
      <c r="D393" t="s">
        <v>1237</v>
      </c>
      <c r="Q393" s="1481"/>
      <c r="R393" s="1481"/>
      <c r="S393" s="1481"/>
      <c r="T393" s="1481"/>
      <c r="U393" s="1481"/>
      <c r="V393" t="s">
        <v>1238</v>
      </c>
      <c r="AG393" s="1378"/>
      <c r="AH393" s="1378"/>
      <c r="AI393" s="1378"/>
      <c r="AJ393" s="1378"/>
    </row>
    <row r="394" spans="4:36" ht="13" customHeight="1">
      <c r="D394" t="s">
        <v>1239</v>
      </c>
      <c r="Q394" s="1479"/>
      <c r="R394" s="1479"/>
      <c r="S394" s="1479"/>
      <c r="T394" s="1479"/>
      <c r="U394" s="1479"/>
      <c r="V394" t="s">
        <v>1240</v>
      </c>
      <c r="AG394" s="1378"/>
      <c r="AH394" s="1378"/>
      <c r="AI394" s="1378"/>
      <c r="AJ394" s="1378"/>
    </row>
    <row r="395" spans="4:36" ht="13" customHeight="1">
      <c r="D395" t="s">
        <v>1241</v>
      </c>
      <c r="AG395" s="1378"/>
      <c r="AH395" s="1378"/>
      <c r="AI395" s="1378"/>
      <c r="AJ395" s="1378"/>
    </row>
    <row r="396" spans="4:36" ht="13" customHeight="1">
      <c r="AG396" s="1157"/>
      <c r="AH396" s="1157"/>
      <c r="AI396" s="1157"/>
      <c r="AJ396" s="1157"/>
    </row>
    <row r="397" spans="4:36" ht="13" customHeight="1">
      <c r="D397" s="2" t="s">
        <v>1242</v>
      </c>
      <c r="AG397" s="1157"/>
      <c r="AH397" s="1157"/>
      <c r="AI397" s="1353" t="s">
        <v>695</v>
      </c>
      <c r="AJ397" s="1353"/>
    </row>
    <row r="398" spans="4:36" ht="13" customHeight="1">
      <c r="D398" s="2" t="s">
        <v>1243</v>
      </c>
      <c r="T398" s="1358"/>
      <c r="U398" s="1358"/>
      <c r="V398" s="1358"/>
      <c r="W398" s="1358"/>
      <c r="X398" s="1358"/>
      <c r="Y398" s="1358"/>
      <c r="Z398" s="1358"/>
      <c r="AA398" s="1358"/>
      <c r="AB398" s="1358"/>
      <c r="AC398" s="1358"/>
      <c r="AD398" s="1358"/>
      <c r="AE398" s="1358"/>
      <c r="AF398" s="1358"/>
      <c r="AG398" s="1358"/>
      <c r="AH398" s="1358"/>
      <c r="AI398" s="1358"/>
      <c r="AJ398" s="1358"/>
    </row>
    <row r="399" spans="4:36" ht="13" customHeight="1">
      <c r="D399" s="2" t="s">
        <v>1244</v>
      </c>
      <c r="T399" s="1358"/>
      <c r="U399" s="1358"/>
      <c r="V399" s="1358"/>
      <c r="W399" s="1358"/>
      <c r="X399" s="1358"/>
      <c r="Y399" s="1358"/>
      <c r="Z399" s="1358"/>
      <c r="AA399" s="1358"/>
      <c r="AB399" s="1358"/>
      <c r="AC399" s="1358"/>
      <c r="AD399" s="1358"/>
      <c r="AE399" s="1358"/>
      <c r="AF399" s="1358"/>
      <c r="AG399" s="1358"/>
      <c r="AH399" s="1358"/>
      <c r="AI399" s="1358"/>
      <c r="AJ399" s="1358"/>
    </row>
    <row r="400" spans="4:36" ht="13" customHeight="1">
      <c r="AG400" s="1157"/>
      <c r="AH400" s="1157"/>
      <c r="AI400" s="1157"/>
      <c r="AJ400" s="1157"/>
    </row>
    <row r="401" spans="1:36" ht="13" customHeight="1">
      <c r="D401" s="2" t="s">
        <v>1245</v>
      </c>
      <c r="S401" s="1358" t="s">
        <v>695</v>
      </c>
      <c r="T401" s="1358"/>
      <c r="U401" s="1358"/>
      <c r="V401" t="s">
        <v>1246</v>
      </c>
      <c r="AG401" s="1451"/>
      <c r="AH401" s="1451"/>
      <c r="AI401" s="1451"/>
      <c r="AJ401" s="1451"/>
    </row>
    <row r="402" spans="1:36" ht="13" customHeight="1">
      <c r="D402" s="2" t="s">
        <v>1247</v>
      </c>
      <c r="S402" s="1358" t="s">
        <v>800</v>
      </c>
      <c r="T402" s="1358"/>
      <c r="U402" s="1358"/>
      <c r="V402" t="s">
        <v>1248</v>
      </c>
      <c r="AE402" s="1459"/>
      <c r="AF402" s="1459"/>
      <c r="AG402" s="1459"/>
      <c r="AH402" s="1459"/>
      <c r="AI402" s="1459"/>
      <c r="AJ402" s="1459"/>
    </row>
    <row r="403" spans="1:36" ht="13" customHeight="1">
      <c r="D403" s="2" t="s">
        <v>1249</v>
      </c>
      <c r="K403" s="1468"/>
      <c r="L403" s="1468"/>
      <c r="M403" s="1468"/>
      <c r="N403" s="1468"/>
      <c r="O403" s="1468"/>
      <c r="P403" s="1468"/>
      <c r="Q403" s="1468"/>
      <c r="R403" s="1468"/>
      <c r="S403" s="1468"/>
      <c r="T403" s="1468"/>
      <c r="U403" s="1468"/>
      <c r="V403" s="1468"/>
      <c r="W403" s="1468"/>
      <c r="X403" s="1468"/>
      <c r="Y403" s="1468"/>
      <c r="Z403" s="1468"/>
      <c r="AA403" s="1468"/>
      <c r="AB403" s="1468"/>
      <c r="AC403" s="1468"/>
      <c r="AD403" s="1468"/>
      <c r="AE403" s="1468"/>
      <c r="AF403" s="1468"/>
      <c r="AG403" s="1468"/>
      <c r="AH403" s="1468"/>
      <c r="AI403" s="1468"/>
      <c r="AJ403" s="1468"/>
    </row>
    <row r="404" spans="1:36" ht="13" customHeight="1">
      <c r="D404" s="2" t="s">
        <v>1250</v>
      </c>
      <c r="K404" s="1468"/>
      <c r="L404" s="1468"/>
      <c r="M404" s="1468"/>
      <c r="N404" s="1468"/>
      <c r="O404" s="1468"/>
      <c r="P404" s="1468"/>
      <c r="Q404" s="1468"/>
      <c r="R404" s="1468"/>
      <c r="S404" s="1468"/>
      <c r="T404" s="1468"/>
      <c r="U404" s="1468"/>
      <c r="V404" s="1468"/>
      <c r="W404" s="1468"/>
      <c r="X404" s="1468"/>
      <c r="Y404" s="1468"/>
      <c r="Z404" s="1468"/>
      <c r="AA404" s="1468"/>
      <c r="AB404" s="1468"/>
      <c r="AC404" s="1468"/>
      <c r="AD404" s="1468"/>
      <c r="AE404" s="1468"/>
      <c r="AF404" s="1468"/>
      <c r="AG404" s="1468"/>
      <c r="AH404" s="1468"/>
      <c r="AI404" s="1468"/>
      <c r="AJ404" s="1468"/>
    </row>
    <row r="405" spans="1:36" ht="13" customHeight="1">
      <c r="D405" s="2" t="s">
        <v>1251</v>
      </c>
      <c r="E405" s="1070"/>
      <c r="F405" s="1070"/>
      <c r="G405" s="1070"/>
      <c r="H405" s="1070"/>
      <c r="I405" s="1070"/>
      <c r="J405" s="1070"/>
      <c r="K405" s="1070"/>
      <c r="L405" s="1070"/>
      <c r="M405" s="1070"/>
      <c r="N405" s="1070"/>
      <c r="O405" s="1070"/>
      <c r="P405" s="1070"/>
      <c r="Q405" s="1070"/>
      <c r="R405" s="1070"/>
      <c r="S405" s="1375" t="s">
        <v>1252</v>
      </c>
      <c r="T405" s="1375"/>
      <c r="U405" s="1375"/>
      <c r="V405" s="1375"/>
      <c r="W405" s="1375"/>
      <c r="X405" s="1375"/>
      <c r="Y405" s="1375"/>
      <c r="Z405" s="1375"/>
      <c r="AA405" s="1375"/>
      <c r="AB405" s="1375"/>
      <c r="AC405" s="1375"/>
      <c r="AD405" s="1375"/>
      <c r="AE405" s="1375"/>
      <c r="AF405" s="1375"/>
      <c r="AG405" s="1375"/>
      <c r="AH405" s="1375"/>
      <c r="AI405" s="1375"/>
      <c r="AJ405" s="1375"/>
    </row>
    <row r="406" spans="1:36" ht="13" customHeight="1">
      <c r="D406" s="1223" t="s">
        <v>1253</v>
      </c>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3" customHeight="1">
      <c r="D407" s="1223"/>
      <c r="E407" s="1223"/>
      <c r="F407" s="1223"/>
      <c r="G407" s="1223"/>
      <c r="H407" s="1223"/>
      <c r="I407" s="1223"/>
      <c r="J407" s="1223"/>
      <c r="K407" s="1223"/>
      <c r="L407" s="1223"/>
      <c r="M407" s="1223"/>
      <c r="N407" s="1223"/>
      <c r="O407" s="1223"/>
      <c r="P407" s="1223"/>
      <c r="Q407" s="1223"/>
      <c r="R407" s="1223"/>
      <c r="S407" s="1223"/>
      <c r="T407" s="1223"/>
      <c r="U407" s="1223"/>
      <c r="V407" s="1223"/>
      <c r="W407" s="1223"/>
      <c r="X407" s="1223"/>
      <c r="Y407" s="1223"/>
      <c r="Z407" s="1223"/>
      <c r="AA407" s="1223"/>
      <c r="AB407" s="1223"/>
      <c r="AC407" s="1223"/>
      <c r="AD407" s="1223"/>
      <c r="AE407" s="1223"/>
      <c r="AF407" s="1223"/>
      <c r="AG407" s="1223"/>
      <c r="AH407" s="1223"/>
      <c r="AI407" s="1223"/>
      <c r="AJ407" s="1223"/>
    </row>
    <row r="408" spans="1:36" ht="13" customHeight="1">
      <c r="AG408" s="1157"/>
      <c r="AH408" s="1157"/>
      <c r="AI408" s="1157"/>
      <c r="AJ408" s="1157"/>
    </row>
    <row r="409" spans="1:36" ht="13" customHeight="1">
      <c r="A409" s="1" t="s">
        <v>1010</v>
      </c>
      <c r="B409" s="1"/>
      <c r="C409" s="1" t="s">
        <v>145</v>
      </c>
    </row>
    <row r="410" spans="1:36" ht="13" customHeight="1">
      <c r="B410" s="1"/>
      <c r="C410" s="1"/>
      <c r="D410" s="1" t="s">
        <v>1254</v>
      </c>
      <c r="I410" s="1471" t="s">
        <v>1255</v>
      </c>
      <c r="J410" s="1471"/>
      <c r="K410" s="1471"/>
      <c r="L410" s="1471"/>
      <c r="M410" s="1471"/>
      <c r="N410" s="1471"/>
      <c r="O410" s="1471"/>
      <c r="P410" s="1471"/>
      <c r="Q410" s="1471"/>
      <c r="R410" s="1471"/>
      <c r="S410" s="1471"/>
      <c r="T410" s="1471"/>
      <c r="U410" s="1471"/>
      <c r="V410" s="1471"/>
      <c r="W410" s="1471"/>
      <c r="X410" s="1471"/>
      <c r="Y410" s="1471"/>
      <c r="Z410" s="1471"/>
      <c r="AA410" s="1471"/>
      <c r="AB410" s="1471"/>
      <c r="AC410" s="1471"/>
      <c r="AD410" s="1471"/>
      <c r="AE410" s="1471"/>
    </row>
    <row r="411" spans="1:36" ht="13" customHeight="1">
      <c r="E411" t="s">
        <v>1256</v>
      </c>
      <c r="R411" s="1353" t="s">
        <v>847</v>
      </c>
      <c r="S411" s="1353"/>
      <c r="AC411" s="21" t="s">
        <v>1257</v>
      </c>
      <c r="AD411" s="1340">
        <v>3</v>
      </c>
      <c r="AE411" s="1340"/>
    </row>
    <row r="412" spans="1:36" ht="13" customHeight="1">
      <c r="E412" t="s">
        <v>1258</v>
      </c>
      <c r="R412" s="1353" t="s">
        <v>800</v>
      </c>
      <c r="S412" s="1353"/>
      <c r="AC412" s="21" t="s">
        <v>1257</v>
      </c>
      <c r="AD412" s="1340"/>
      <c r="AE412" s="1340"/>
    </row>
    <row r="413" spans="1:36" ht="13" customHeight="1">
      <c r="E413" t="s">
        <v>1259</v>
      </c>
      <c r="S413" s="1353" t="s">
        <v>800</v>
      </c>
      <c r="T413" s="1353"/>
    </row>
    <row r="414" spans="1:36" ht="13" customHeight="1">
      <c r="E414" t="s">
        <v>233</v>
      </c>
      <c r="H414" s="1460" t="s">
        <v>1260</v>
      </c>
      <c r="I414" s="1460"/>
      <c r="J414" s="1460"/>
      <c r="K414" s="1460"/>
      <c r="L414" s="1460"/>
      <c r="M414" s="1460"/>
      <c r="N414" s="1460"/>
      <c r="O414" s="1460"/>
      <c r="P414" s="1460"/>
      <c r="Q414" s="1460"/>
      <c r="R414" s="1460"/>
      <c r="S414" s="1460"/>
      <c r="T414" s="1460"/>
      <c r="U414" s="1460"/>
      <c r="V414" s="1460"/>
      <c r="W414" s="1460"/>
      <c r="X414" s="1460"/>
      <c r="Y414" s="1460"/>
      <c r="Z414" s="1460"/>
      <c r="AA414" s="1460"/>
      <c r="AB414" s="1460"/>
      <c r="AC414" s="1460"/>
      <c r="AD414" s="1460"/>
      <c r="AE414" s="1460"/>
    </row>
    <row r="415" spans="1:36" ht="13" customHeight="1">
      <c r="H415" s="1461"/>
      <c r="I415" s="1461"/>
      <c r="J415" s="1461"/>
      <c r="K415" s="1461"/>
      <c r="L415" s="1461"/>
      <c r="M415" s="1461"/>
      <c r="N415" s="1461"/>
      <c r="O415" s="1461"/>
      <c r="P415" s="1461"/>
      <c r="Q415" s="1461"/>
      <c r="R415" s="1461"/>
      <c r="S415" s="1461"/>
      <c r="T415" s="1461"/>
      <c r="U415" s="1461"/>
      <c r="V415" s="1461"/>
      <c r="W415" s="1461"/>
      <c r="X415" s="1461"/>
      <c r="Y415" s="1461"/>
      <c r="Z415" s="1461"/>
      <c r="AA415" s="1461"/>
      <c r="AB415" s="1461"/>
      <c r="AC415" s="1461"/>
      <c r="AD415" s="1461"/>
      <c r="AE415" s="1461"/>
    </row>
    <row r="416" spans="1:36" ht="13" customHeight="1"/>
    <row r="417" spans="1:39" ht="13" customHeight="1">
      <c r="A417" s="1" t="s">
        <v>1022</v>
      </c>
      <c r="B417" s="1"/>
      <c r="C417" s="1"/>
      <c r="D417" s="1" t="s">
        <v>150</v>
      </c>
      <c r="AF417" s="1" t="s">
        <v>1261</v>
      </c>
    </row>
    <row r="418" spans="1:39" ht="13" customHeight="1">
      <c r="E418" s="1453"/>
      <c r="F418" s="1453"/>
      <c r="G418" s="1453"/>
      <c r="H418" s="1066" t="s">
        <v>1262</v>
      </c>
      <c r="I418" s="1453"/>
      <c r="J418" s="1453"/>
      <c r="K418" s="1453"/>
      <c r="L418" t="s">
        <v>1263</v>
      </c>
      <c r="N418" s="21" t="s">
        <v>36</v>
      </c>
      <c r="P418" s="1463">
        <v>3.2</v>
      </c>
      <c r="Q418" s="1463"/>
      <c r="R418" s="1463"/>
      <c r="S418" t="s">
        <v>1264</v>
      </c>
      <c r="W418" s="1466">
        <f>IF(E418&gt;0,(E418*I418),(P418*43560))</f>
        <v>139392</v>
      </c>
      <c r="X418" s="1466"/>
      <c r="Y418" s="1466"/>
      <c r="Z418" t="s">
        <v>1265</v>
      </c>
      <c r="AF418" s="1526">
        <f>IFERROR(IF(P418&gt;0,(AG437/P418),(AG437/(W418/43560))),0)</f>
        <v>25</v>
      </c>
      <c r="AG418" s="1526"/>
      <c r="AH418" s="1526"/>
      <c r="AM418" s="2"/>
    </row>
    <row r="419" spans="1:39" ht="13" customHeight="1">
      <c r="E419" t="s">
        <v>1266</v>
      </c>
    </row>
    <row r="420" spans="1:39" ht="13" customHeight="1">
      <c r="E420" s="1452"/>
      <c r="F420" s="1452"/>
      <c r="G420" s="1452"/>
      <c r="H420" s="1452"/>
      <c r="I420" s="1452"/>
      <c r="J420" s="1452"/>
      <c r="K420" s="1452"/>
      <c r="L420" s="1452"/>
      <c r="M420" s="1452"/>
      <c r="N420" s="1452"/>
      <c r="O420" s="1452"/>
      <c r="P420" s="1452"/>
      <c r="Q420" s="1452"/>
      <c r="R420" s="1452"/>
      <c r="S420" s="1452"/>
      <c r="T420" s="1452"/>
      <c r="U420" s="1452"/>
      <c r="V420" s="1452"/>
      <c r="W420" s="1452"/>
      <c r="X420" s="1452"/>
      <c r="Y420" s="1452"/>
      <c r="Z420" s="1452"/>
      <c r="AA420" s="1452"/>
      <c r="AB420" s="1452"/>
      <c r="AC420" s="1452"/>
      <c r="AD420" s="1452"/>
      <c r="AE420" s="1452"/>
      <c r="AF420" s="1452"/>
      <c r="AG420" s="1452"/>
      <c r="AH420" s="1452"/>
      <c r="AI420" s="1452"/>
      <c r="AJ420" s="1452"/>
    </row>
    <row r="421" spans="1:39" ht="13" customHeight="1">
      <c r="E421" s="68" t="s">
        <v>1267</v>
      </c>
      <c r="F421" s="16"/>
      <c r="G421" s="16"/>
      <c r="H421" s="16"/>
      <c r="I421" s="1462">
        <v>3.2</v>
      </c>
      <c r="J421" s="1462"/>
      <c r="K421" s="1462"/>
      <c r="L421" s="16"/>
      <c r="M421" s="68"/>
      <c r="N421" s="16"/>
      <c r="O421" s="16"/>
      <c r="P421" s="1767">
        <f>(DU755+DU778+DU800)/I421</f>
        <v>30</v>
      </c>
      <c r="Q421" s="1767"/>
      <c r="R421" s="1767"/>
      <c r="S421" s="68" t="s">
        <v>1268</v>
      </c>
      <c r="T421" s="16"/>
      <c r="U421" s="16"/>
      <c r="V421" s="16"/>
      <c r="W421" s="16"/>
      <c r="X421" s="16"/>
      <c r="Y421" s="16"/>
      <c r="Z421" s="16"/>
      <c r="AA421" s="16"/>
      <c r="AB421" s="16"/>
      <c r="AC421" s="16"/>
      <c r="AD421" s="16"/>
      <c r="AE421" s="16"/>
      <c r="AF421" s="16"/>
      <c r="AG421" s="16"/>
      <c r="AH421" s="16"/>
      <c r="AI421" s="16"/>
      <c r="AJ421" s="16"/>
    </row>
    <row r="422" spans="1:39" ht="13" customHeight="1"/>
    <row r="423" spans="1:39" ht="13" customHeight="1">
      <c r="A423" s="1" t="s">
        <v>1048</v>
      </c>
      <c r="B423" s="1"/>
      <c r="C423" s="1"/>
      <c r="D423" s="1" t="s">
        <v>152</v>
      </c>
    </row>
    <row r="424" spans="1:39" ht="13" customHeight="1">
      <c r="E424" t="s">
        <v>1269</v>
      </c>
      <c r="P424" s="1353">
        <v>2</v>
      </c>
      <c r="Q424" s="1353"/>
      <c r="S424" t="s">
        <v>1270</v>
      </c>
      <c r="AE424" s="1353">
        <v>1</v>
      </c>
      <c r="AF424" s="1353"/>
    </row>
    <row r="425" spans="1:39" ht="13" customHeight="1">
      <c r="E425" t="s">
        <v>1271</v>
      </c>
      <c r="P425" s="1353">
        <v>1</v>
      </c>
      <c r="Q425" s="1353"/>
      <c r="S425" t="s">
        <v>1272</v>
      </c>
      <c r="AE425" s="1353" t="s">
        <v>800</v>
      </c>
      <c r="AF425" s="1353"/>
    </row>
    <row r="426" spans="1:39" ht="13" customHeight="1">
      <c r="F426" s="17" t="s">
        <v>1273</v>
      </c>
    </row>
    <row r="427" spans="1:39" ht="13" customHeight="1">
      <c r="F427" s="1484"/>
      <c r="G427" s="1484"/>
      <c r="H427" s="1484"/>
      <c r="I427" s="1484"/>
      <c r="J427" s="1484"/>
      <c r="K427" s="1484"/>
      <c r="L427" s="1484"/>
      <c r="M427" s="1484"/>
      <c r="N427" s="1484"/>
      <c r="O427" s="1484"/>
      <c r="P427" s="1484"/>
      <c r="Q427" s="1484"/>
      <c r="R427" s="1484"/>
      <c r="S427" s="1484"/>
      <c r="T427" s="1484"/>
      <c r="U427" s="1484"/>
      <c r="V427" s="1484"/>
      <c r="W427" s="1484"/>
      <c r="X427" s="1484"/>
      <c r="Y427" s="1484"/>
      <c r="Z427" s="1484"/>
      <c r="AA427" s="1484"/>
      <c r="AB427" s="1484"/>
      <c r="AC427" s="1484"/>
      <c r="AD427" s="1484"/>
      <c r="AE427" s="1484"/>
      <c r="AF427" s="1484"/>
      <c r="AG427" s="1484"/>
      <c r="AH427" s="1484"/>
    </row>
    <row r="428" spans="1:39" ht="13" customHeight="1">
      <c r="F428" s="1477"/>
      <c r="G428" s="1477"/>
      <c r="H428" s="1477"/>
      <c r="I428" s="1477"/>
      <c r="J428" s="1477"/>
      <c r="K428" s="1477"/>
      <c r="L428" s="1477"/>
      <c r="M428" s="1477"/>
      <c r="N428" s="1477"/>
      <c r="O428" s="1477"/>
      <c r="P428" s="1477"/>
      <c r="Q428" s="1477"/>
      <c r="R428" s="1477"/>
      <c r="S428" s="1477"/>
      <c r="T428" s="1477"/>
      <c r="U428" s="1477"/>
      <c r="V428" s="1477"/>
      <c r="W428" s="1477"/>
      <c r="X428" s="1477"/>
      <c r="Y428" s="1477"/>
      <c r="Z428" s="1477"/>
      <c r="AA428" s="1477"/>
      <c r="AB428" s="1477"/>
      <c r="AC428" s="1477"/>
      <c r="AD428" s="1477"/>
      <c r="AE428" s="1477"/>
      <c r="AF428" s="1477"/>
      <c r="AG428" s="1477"/>
      <c r="AH428" s="1477"/>
    </row>
    <row r="429" spans="1:39" ht="13" customHeight="1">
      <c r="E429" t="s">
        <v>1274</v>
      </c>
      <c r="P429" s="1063"/>
      <c r="Q429" s="1353" t="s">
        <v>847</v>
      </c>
      <c r="R429" s="1353"/>
    </row>
    <row r="430" spans="1:39" ht="13" customHeight="1">
      <c r="F430" t="s">
        <v>1275</v>
      </c>
      <c r="P430" s="1063"/>
      <c r="Q430" s="1063"/>
      <c r="AF430" s="1353" t="s">
        <v>800</v>
      </c>
      <c r="AG430" s="1457"/>
    </row>
    <row r="431" spans="1:39" ht="13" customHeight="1"/>
    <row r="432" spans="1:39" ht="13" customHeight="1">
      <c r="A432" s="1"/>
      <c r="B432" s="1"/>
      <c r="C432" s="1"/>
      <c r="E432" s="2" t="s">
        <v>1276</v>
      </c>
      <c r="Z432" s="1353" t="s">
        <v>695</v>
      </c>
      <c r="AA432" s="1353"/>
    </row>
    <row r="433" spans="1:55" ht="13" customHeight="1">
      <c r="F433" s="28" t="s">
        <v>1277</v>
      </c>
      <c r="G433" s="1104"/>
      <c r="H433" s="1104"/>
      <c r="I433" s="1104"/>
      <c r="J433" s="1104"/>
      <c r="K433" s="1104"/>
      <c r="L433" s="1104"/>
      <c r="M433" s="1104"/>
      <c r="N433" s="1104"/>
      <c r="O433" s="1104"/>
      <c r="P433" s="1104"/>
      <c r="Q433" s="1104"/>
      <c r="R433" s="1104"/>
      <c r="S433" s="1104"/>
      <c r="T433" s="1104"/>
      <c r="U433" s="1104"/>
      <c r="V433" s="1104"/>
      <c r="W433" s="1104"/>
      <c r="AB433" s="1104"/>
    </row>
    <row r="434" spans="1:55" ht="13" customHeight="1">
      <c r="F434" t="s">
        <v>1278</v>
      </c>
      <c r="G434" s="1104"/>
      <c r="I434" s="1104"/>
      <c r="J434" s="1104"/>
      <c r="K434" s="1104"/>
      <c r="L434" s="1104"/>
      <c r="M434" s="1104"/>
      <c r="N434" s="1104"/>
      <c r="O434" s="17"/>
      <c r="P434" s="1104"/>
      <c r="Q434" s="1104"/>
      <c r="R434" s="1104"/>
      <c r="S434" s="1104"/>
      <c r="T434" s="1104"/>
      <c r="U434" s="1104"/>
      <c r="V434" s="1104"/>
      <c r="W434" s="1104"/>
      <c r="Z434" s="1353" t="s">
        <v>800</v>
      </c>
      <c r="AA434" s="1353"/>
    </row>
    <row r="435" spans="1:55" ht="13" customHeight="1"/>
    <row r="436" spans="1:55" ht="13" customHeight="1">
      <c r="A436" s="1" t="s">
        <v>1110</v>
      </c>
      <c r="B436" s="1"/>
      <c r="C436" s="1"/>
      <c r="D436" s="1" t="s">
        <v>159</v>
      </c>
      <c r="AF436" s="32"/>
    </row>
    <row r="437" spans="1:55" ht="13" customHeight="1">
      <c r="D437" s="1454" t="s">
        <v>1279</v>
      </c>
      <c r="E437" s="1455"/>
      <c r="F437" s="1455"/>
      <c r="G437" s="1455"/>
      <c r="H437" s="1455"/>
      <c r="I437" s="1455"/>
      <c r="J437" s="1455"/>
      <c r="K437" s="1455"/>
      <c r="L437" s="1455"/>
      <c r="M437" s="1455"/>
      <c r="N437" s="1455"/>
      <c r="O437" s="1455"/>
      <c r="P437" s="1455"/>
      <c r="Q437" s="1455"/>
      <c r="R437" s="1455"/>
      <c r="S437" s="1455"/>
      <c r="T437" s="1455"/>
      <c r="U437" s="1455"/>
      <c r="V437" s="1455"/>
      <c r="W437" s="1455"/>
      <c r="X437" s="1455"/>
      <c r="Y437" s="1455"/>
      <c r="Z437" s="1455"/>
      <c r="AA437" s="1455"/>
      <c r="AB437" s="1455"/>
      <c r="AC437" s="1455"/>
      <c r="AD437" s="1455"/>
      <c r="AE437" s="1455"/>
      <c r="AF437" s="1456"/>
      <c r="AG437" s="1335">
        <v>80</v>
      </c>
      <c r="AH437" s="1335"/>
      <c r="AI437" s="1335"/>
      <c r="AJ437" s="1335"/>
    </row>
    <row r="438" spans="1:55" ht="13" customHeight="1">
      <c r="D438" s="1398" t="s">
        <v>1280</v>
      </c>
      <c r="E438" s="1399"/>
      <c r="F438" s="1399"/>
      <c r="G438" s="1399"/>
      <c r="H438" s="1399"/>
      <c r="I438" s="1399"/>
      <c r="J438" s="1399"/>
      <c r="K438" s="1399"/>
      <c r="L438" s="1399"/>
      <c r="M438" s="1399"/>
      <c r="N438" s="1399"/>
      <c r="O438" s="1399"/>
      <c r="P438" s="1399"/>
      <c r="Q438" s="1399"/>
      <c r="R438" s="1399"/>
      <c r="S438" s="1399"/>
      <c r="T438" s="1399"/>
      <c r="U438" s="1399"/>
      <c r="V438" s="1399"/>
      <c r="W438" s="1399"/>
      <c r="X438" s="1399"/>
      <c r="Y438" s="1399"/>
      <c r="Z438" s="1399"/>
      <c r="AA438" s="1399"/>
      <c r="AB438" s="1399"/>
      <c r="AC438" s="1399"/>
      <c r="AD438" s="1399"/>
      <c r="AE438" s="1399"/>
      <c r="AF438" s="1400"/>
      <c r="AG438" s="1464">
        <v>0</v>
      </c>
      <c r="AH438" s="1465"/>
      <c r="AI438" s="1465"/>
      <c r="AJ438" s="1465"/>
    </row>
    <row r="439" spans="1:55" ht="13" customHeight="1">
      <c r="D439" s="1398" t="s">
        <v>1281</v>
      </c>
      <c r="E439" s="1399"/>
      <c r="F439" s="1399"/>
      <c r="G439" s="1399"/>
      <c r="H439" s="1399"/>
      <c r="I439" s="1399"/>
      <c r="J439" s="1399"/>
      <c r="K439" s="1399"/>
      <c r="L439" s="1399"/>
      <c r="M439" s="1399"/>
      <c r="N439" s="1399"/>
      <c r="O439" s="1399"/>
      <c r="P439" s="1399"/>
      <c r="Q439" s="1399"/>
      <c r="R439" s="1399"/>
      <c r="S439" s="1399"/>
      <c r="T439" s="1399"/>
      <c r="U439" s="1399"/>
      <c r="V439" s="1399"/>
      <c r="W439" s="1399"/>
      <c r="X439" s="1399"/>
      <c r="Y439" s="1399"/>
      <c r="Z439" s="1399"/>
      <c r="AA439" s="1399"/>
      <c r="AB439" s="1399"/>
      <c r="AC439" s="1399"/>
      <c r="AD439" s="1399"/>
      <c r="AE439" s="1399"/>
      <c r="AF439" s="1400"/>
      <c r="AG439" s="1335">
        <v>79</v>
      </c>
      <c r="AH439" s="1335"/>
      <c r="AI439" s="1335"/>
      <c r="AJ439" s="1335"/>
    </row>
    <row r="440" spans="1:55" ht="13" customHeight="1">
      <c r="D440" s="1398" t="s">
        <v>1282</v>
      </c>
      <c r="E440" s="1399"/>
      <c r="F440" s="1399"/>
      <c r="G440" s="1399"/>
      <c r="H440" s="1399"/>
      <c r="I440" s="1399"/>
      <c r="J440" s="1399"/>
      <c r="K440" s="1399"/>
      <c r="L440" s="1399"/>
      <c r="M440" s="1399"/>
      <c r="N440" s="1399"/>
      <c r="O440" s="1399"/>
      <c r="P440" s="1399"/>
      <c r="Q440" s="1399"/>
      <c r="R440" s="1399"/>
      <c r="S440" s="1399"/>
      <c r="T440" s="1399"/>
      <c r="U440" s="1399"/>
      <c r="V440" s="1399"/>
      <c r="W440" s="1399"/>
      <c r="X440" s="1399"/>
      <c r="Y440" s="1399"/>
      <c r="Z440" s="1399"/>
      <c r="AA440" s="1399"/>
      <c r="AB440" s="1399"/>
      <c r="AC440" s="1399"/>
      <c r="AD440" s="1399"/>
      <c r="AE440" s="1399"/>
      <c r="AF440" s="1400"/>
      <c r="AG440" s="1335">
        <v>79</v>
      </c>
      <c r="AH440" s="1335"/>
      <c r="AI440" s="1335"/>
      <c r="AJ440" s="1335"/>
    </row>
    <row r="441" spans="1:55" ht="13" customHeight="1">
      <c r="D441" s="1398" t="s">
        <v>1283</v>
      </c>
      <c r="E441" s="1399"/>
      <c r="F441" s="1399"/>
      <c r="G441" s="1399"/>
      <c r="H441" s="1399"/>
      <c r="I441" s="1399"/>
      <c r="J441" s="1399"/>
      <c r="K441" s="1399"/>
      <c r="L441" s="1399"/>
      <c r="M441" s="1399"/>
      <c r="N441" s="1399"/>
      <c r="O441" s="1399"/>
      <c r="P441" s="1399"/>
      <c r="Q441" s="1399"/>
      <c r="R441" s="1399"/>
      <c r="S441" s="1399"/>
      <c r="T441" s="1399"/>
      <c r="U441" s="1399"/>
      <c r="V441" s="1399"/>
      <c r="W441" s="1399"/>
      <c r="X441" s="1399"/>
      <c r="Y441" s="1399"/>
      <c r="Z441" s="1399"/>
      <c r="AA441" s="1399"/>
      <c r="AB441" s="1399"/>
      <c r="AC441" s="1399"/>
      <c r="AD441" s="1399"/>
      <c r="AE441" s="1399"/>
      <c r="AF441" s="1400"/>
      <c r="AG441" s="1397">
        <f>IF(ISERROR(AG440/AG439),0,AG440/AG439)</f>
        <v>1</v>
      </c>
      <c r="AH441" s="1397"/>
      <c r="AI441" s="1397"/>
      <c r="AJ441" s="1397"/>
    </row>
    <row r="442" spans="1:55" ht="13" customHeight="1">
      <c r="D442" s="1398" t="s">
        <v>1284</v>
      </c>
      <c r="E442" s="1399"/>
      <c r="F442" s="1399"/>
      <c r="G442" s="1399"/>
      <c r="H442" s="1399"/>
      <c r="I442" s="1399"/>
      <c r="J442" s="1399"/>
      <c r="K442" s="1399"/>
      <c r="L442" s="1399"/>
      <c r="M442" s="1399"/>
      <c r="N442" s="1399"/>
      <c r="O442" s="1399"/>
      <c r="P442" s="1399"/>
      <c r="Q442" s="1399"/>
      <c r="R442" s="1399"/>
      <c r="S442" s="1399"/>
      <c r="T442" s="1399"/>
      <c r="U442" s="1399"/>
      <c r="V442" s="1399"/>
      <c r="W442" s="1399"/>
      <c r="X442" s="1399"/>
      <c r="Y442" s="1399"/>
      <c r="Z442" s="1399"/>
      <c r="AA442" s="1399"/>
      <c r="AB442" s="1399"/>
      <c r="AC442" s="1399"/>
      <c r="AD442" s="1399"/>
      <c r="AE442" s="1399"/>
      <c r="AF442" s="1400"/>
      <c r="AG442" s="1458">
        <f>68000-4500-T773</f>
        <v>62674.5</v>
      </c>
      <c r="AH442" s="1458"/>
      <c r="AI442" s="1458"/>
      <c r="AJ442" s="1458"/>
    </row>
    <row r="443" spans="1:55" ht="13" customHeight="1">
      <c r="D443" s="1398" t="s">
        <v>1285</v>
      </c>
      <c r="E443" s="1399"/>
      <c r="F443" s="1399"/>
      <c r="G443" s="1399"/>
      <c r="H443" s="1399"/>
      <c r="I443" s="1399"/>
      <c r="J443" s="1399"/>
      <c r="K443" s="1399"/>
      <c r="L443" s="1399"/>
      <c r="M443" s="1399"/>
      <c r="N443" s="1399"/>
      <c r="O443" s="1399"/>
      <c r="P443" s="1399"/>
      <c r="Q443" s="1399"/>
      <c r="R443" s="1399"/>
      <c r="S443" s="1399"/>
      <c r="T443" s="1399"/>
      <c r="U443" s="1399"/>
      <c r="V443" s="1399"/>
      <c r="W443" s="1399"/>
      <c r="X443" s="1399"/>
      <c r="Y443" s="1399"/>
      <c r="Z443" s="1399"/>
      <c r="AA443" s="1399"/>
      <c r="AB443" s="1399"/>
      <c r="AC443" s="1399"/>
      <c r="AD443" s="1399"/>
      <c r="AE443" s="1399"/>
      <c r="AF443" s="1400"/>
      <c r="AG443" s="1458">
        <f>+AG442</f>
        <v>62674.5</v>
      </c>
      <c r="AH443" s="1458"/>
      <c r="AI443" s="1458"/>
      <c r="AJ443" s="1458"/>
    </row>
    <row r="444" spans="1:55" ht="13" customHeight="1">
      <c r="D444" s="1398" t="s">
        <v>1286</v>
      </c>
      <c r="E444" s="1399"/>
      <c r="F444" s="1399"/>
      <c r="G444" s="1399"/>
      <c r="H444" s="1399"/>
      <c r="I444" s="1399"/>
      <c r="J444" s="1399"/>
      <c r="K444" s="1399"/>
      <c r="L444" s="1399"/>
      <c r="M444" s="1399"/>
      <c r="N444" s="1399"/>
      <c r="O444" s="1399"/>
      <c r="P444" s="1399"/>
      <c r="Q444" s="1399"/>
      <c r="R444" s="1399"/>
      <c r="S444" s="1399"/>
      <c r="T444" s="1399"/>
      <c r="U444" s="1399"/>
      <c r="V444" s="1399"/>
      <c r="W444" s="1399"/>
      <c r="X444" s="1399"/>
      <c r="Y444" s="1399"/>
      <c r="Z444" s="1399"/>
      <c r="AA444" s="1399"/>
      <c r="AB444" s="1399"/>
      <c r="AC444" s="1399"/>
      <c r="AD444" s="1399"/>
      <c r="AE444" s="1399"/>
      <c r="AF444" s="1400"/>
      <c r="AG444" s="1397">
        <f>IF(ISERROR(AG443/AG442),0,AG443/AG442)</f>
        <v>1</v>
      </c>
      <c r="AH444" s="1397"/>
      <c r="AI444" s="1397"/>
      <c r="AJ444" s="1397"/>
    </row>
    <row r="445" spans="1:55" ht="13" customHeight="1">
      <c r="D445" s="1398" t="s">
        <v>1287</v>
      </c>
      <c r="E445" s="1399"/>
      <c r="F445" s="1399"/>
      <c r="G445" s="1399"/>
      <c r="H445" s="1399"/>
      <c r="I445" s="1399"/>
      <c r="J445" s="1399"/>
      <c r="K445" s="1399"/>
      <c r="L445" s="1399"/>
      <c r="M445" s="1399"/>
      <c r="N445" s="1399"/>
      <c r="O445" s="1399"/>
      <c r="P445" s="1399"/>
      <c r="Q445" s="1399"/>
      <c r="R445" s="1399"/>
      <c r="S445" s="1399"/>
      <c r="T445" s="1399"/>
      <c r="U445" s="1399"/>
      <c r="V445" s="1399"/>
      <c r="W445" s="1399"/>
      <c r="X445" s="1399"/>
      <c r="Y445" s="1399"/>
      <c r="Z445" s="1399"/>
      <c r="AA445" s="1399"/>
      <c r="AB445" s="1399"/>
      <c r="AC445" s="1399"/>
      <c r="AD445" s="1399"/>
      <c r="AE445" s="1399"/>
      <c r="AF445" s="1400"/>
      <c r="AG445" s="1397">
        <f>MIN(IF(AG441&gt;AG444,AG444,AG441),1)</f>
        <v>1</v>
      </c>
      <c r="AH445" s="1397"/>
      <c r="AI445" s="1397"/>
      <c r="AJ445" s="1397"/>
    </row>
    <row r="446" spans="1:55" ht="13" customHeight="1">
      <c r="D446" s="1398" t="s">
        <v>1288</v>
      </c>
      <c r="E446" s="1455"/>
      <c r="F446" s="1455"/>
      <c r="G446" s="1455"/>
      <c r="H446" s="1455"/>
      <c r="I446" s="1455"/>
      <c r="J446" s="1455"/>
      <c r="K446" s="1455"/>
      <c r="L446" s="1455"/>
      <c r="M446" s="1455"/>
      <c r="N446" s="1455"/>
      <c r="O446" s="1455"/>
      <c r="P446" s="1455"/>
      <c r="Q446" s="1455"/>
      <c r="R446" s="1455"/>
      <c r="S446" s="1455"/>
      <c r="T446" s="1455"/>
      <c r="U446" s="1455"/>
      <c r="V446" s="1455"/>
      <c r="W446" s="1455"/>
      <c r="X446" s="1455"/>
      <c r="Y446" s="1455"/>
      <c r="Z446" s="1455"/>
      <c r="AA446" s="1455"/>
      <c r="AB446" s="1455"/>
      <c r="AC446" s="1455"/>
      <c r="AD446" s="1455"/>
      <c r="AE446" s="1455"/>
      <c r="AF446" s="1456"/>
      <c r="AG446" s="1458">
        <v>4500</v>
      </c>
      <c r="AH446" s="1458"/>
      <c r="AI446" s="1458"/>
      <c r="AJ446" s="1458"/>
      <c r="AZ446" s="2"/>
      <c r="BA446" s="2"/>
      <c r="BB446" s="2"/>
      <c r="BC446" s="2"/>
    </row>
    <row r="447" spans="1:55" ht="13" customHeight="1">
      <c r="D447" s="1454" t="s">
        <v>1289</v>
      </c>
      <c r="E447" s="1455"/>
      <c r="F447" s="1455"/>
      <c r="G447" s="1455"/>
      <c r="H447" s="145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c r="AF447" s="1456"/>
      <c r="AG447" s="1458">
        <v>0</v>
      </c>
      <c r="AH447" s="1458"/>
      <c r="AI447" s="1458"/>
      <c r="AJ447" s="1458"/>
      <c r="AZ447" s="2"/>
      <c r="BA447" s="2"/>
      <c r="BB447" s="2"/>
      <c r="BC447" s="2"/>
    </row>
    <row r="448" spans="1:55" ht="13" customHeight="1">
      <c r="D448" s="1398" t="s">
        <v>1290</v>
      </c>
      <c r="E448" s="1455"/>
      <c r="F448" s="1455"/>
      <c r="G448" s="1455"/>
      <c r="H448" s="145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c r="AF448" s="1456"/>
      <c r="AG448" s="1458">
        <v>826</v>
      </c>
      <c r="AH448" s="1458"/>
      <c r="AI448" s="1458"/>
      <c r="AJ448" s="1458"/>
      <c r="AZ448" s="2"/>
      <c r="BA448" s="2"/>
      <c r="BB448" s="2"/>
      <c r="BC448" s="2"/>
    </row>
    <row r="449" spans="1:55" ht="13" customHeight="1">
      <c r="D449" s="1398" t="s">
        <v>1291</v>
      </c>
      <c r="E449" s="1455"/>
      <c r="F449" s="1455"/>
      <c r="G449" s="1455"/>
      <c r="H449" s="145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c r="AF449" s="1456"/>
      <c r="AG449" s="1458">
        <v>0</v>
      </c>
      <c r="AH449" s="1458"/>
      <c r="AI449" s="1458"/>
      <c r="AJ449" s="1458"/>
      <c r="BB449" s="2"/>
      <c r="BC449" s="2"/>
    </row>
    <row r="450" spans="1:55" ht="13" customHeight="1">
      <c r="D450" s="1517" t="s">
        <v>1292</v>
      </c>
      <c r="E450" s="1518"/>
      <c r="F450" s="1518"/>
      <c r="G450" s="1518"/>
      <c r="H450" s="1518"/>
      <c r="I450" s="1518"/>
      <c r="J450" s="1518"/>
      <c r="K450" s="1518"/>
      <c r="L450" s="1518"/>
      <c r="M450" s="1518"/>
      <c r="N450" s="1518"/>
      <c r="O450" s="1518"/>
      <c r="P450" s="1518"/>
      <c r="Q450" s="1518"/>
      <c r="R450" s="1518"/>
      <c r="S450" s="1518"/>
      <c r="T450" s="1518"/>
      <c r="U450" s="1518"/>
      <c r="V450" s="1518"/>
      <c r="W450" s="1518"/>
      <c r="X450" s="1518"/>
      <c r="Y450" s="1518"/>
      <c r="Z450" s="1518"/>
      <c r="AA450" s="1518"/>
      <c r="AB450" s="1518"/>
      <c r="AC450" s="1518"/>
      <c r="AD450" s="1518"/>
      <c r="AE450" s="1518"/>
      <c r="AF450" s="1519"/>
      <c r="AG450" s="1521">
        <f>AG442+AG446+AG448+AG449</f>
        <v>68000.5</v>
      </c>
      <c r="AH450" s="1521"/>
      <c r="AI450" s="1521"/>
      <c r="AJ450" s="1521"/>
      <c r="AZ450" s="2"/>
      <c r="BA450" s="2"/>
      <c r="BB450" s="2"/>
      <c r="BC450" s="2"/>
    </row>
    <row r="451" spans="1:55" ht="13" customHeight="1">
      <c r="D451" s="1522" t="s">
        <v>1293</v>
      </c>
      <c r="E451" s="1522"/>
      <c r="F451" s="1522"/>
      <c r="G451" s="1522"/>
      <c r="H451" s="1522"/>
      <c r="I451" s="1522"/>
      <c r="J451" s="1522"/>
      <c r="K451" s="1522"/>
      <c r="L451" s="1522"/>
      <c r="M451" s="1522"/>
      <c r="N451" s="1522"/>
      <c r="O451" s="1522"/>
      <c r="P451" s="1522"/>
      <c r="Q451" s="1522"/>
      <c r="R451" s="1522"/>
      <c r="S451" s="1522"/>
      <c r="T451" s="1522"/>
      <c r="U451" s="1522"/>
      <c r="V451" s="1522"/>
      <c r="W451" s="1522"/>
      <c r="X451" s="1522"/>
      <c r="Y451" s="1522"/>
      <c r="Z451" s="1522"/>
      <c r="AA451" s="1522"/>
      <c r="AB451" s="1522"/>
      <c r="AC451" s="1522"/>
      <c r="AD451" s="1522"/>
      <c r="AE451" s="1522"/>
      <c r="AF451" s="1522"/>
      <c r="AG451" s="1522"/>
      <c r="AH451" s="1522"/>
      <c r="AI451" s="1522"/>
      <c r="AJ451" s="1522"/>
      <c r="AZ451" s="2"/>
      <c r="BA451" s="2"/>
      <c r="BB451" s="2"/>
      <c r="BC451" s="2"/>
    </row>
    <row r="452" spans="1:55" ht="13" customHeight="1">
      <c r="D452" s="1523"/>
      <c r="E452" s="1523"/>
      <c r="F452" s="1523"/>
      <c r="G452" s="1523"/>
      <c r="H452" s="1523"/>
      <c r="I452" s="1523"/>
      <c r="J452" s="1523"/>
      <c r="K452" s="1523"/>
      <c r="L452" s="1523"/>
      <c r="M452" s="1523"/>
      <c r="N452" s="1523"/>
      <c r="O452" s="1523"/>
      <c r="P452" s="1523"/>
      <c r="Q452" s="1523"/>
      <c r="R452" s="1523"/>
      <c r="S452" s="1523"/>
      <c r="T452" s="1523"/>
      <c r="U452" s="1523"/>
      <c r="V452" s="1523"/>
      <c r="W452" s="1523"/>
      <c r="X452" s="1523"/>
      <c r="Y452" s="1523"/>
      <c r="Z452" s="1523"/>
      <c r="AA452" s="1523"/>
      <c r="AB452" s="1523"/>
      <c r="AC452" s="1523"/>
      <c r="AD452" s="1523"/>
      <c r="AE452" s="1523"/>
      <c r="AF452" s="1523"/>
      <c r="AG452" s="1523"/>
      <c r="AH452" s="1523"/>
      <c r="AI452" s="1523"/>
      <c r="AJ452" s="1523"/>
      <c r="AZ452" s="2"/>
      <c r="BA452" s="2"/>
      <c r="BB452" s="2"/>
      <c r="BC452" s="2"/>
    </row>
    <row r="453" spans="1:55" ht="13"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67"/>
      <c r="AZ453" s="2"/>
      <c r="BA453" s="2" t="str">
        <f>N575</f>
        <v>Yes</v>
      </c>
      <c r="BB453" s="2"/>
      <c r="BC453" s="2"/>
    </row>
    <row r="454" spans="1:55" ht="13" customHeight="1">
      <c r="D454" s="114" t="s">
        <v>1294</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324">
        <f>IF(AG437=0,"",'Sources and Uses Budget'!B105/Application!AG437)</f>
        <v>482501.01250000001</v>
      </c>
      <c r="AD454" s="1324"/>
      <c r="AE454" s="1324"/>
      <c r="AF454" s="1324"/>
      <c r="AG454" s="366"/>
      <c r="AH454" s="366"/>
      <c r="AI454" s="366"/>
      <c r="AJ454" s="767"/>
      <c r="AZ454" s="2"/>
      <c r="BA454" s="2" t="str">
        <f>AG575</f>
        <v>Yes</v>
      </c>
      <c r="BB454" s="2"/>
      <c r="BC454" s="2"/>
    </row>
    <row r="455" spans="1:55" ht="13" customHeight="1">
      <c r="D455" s="114" t="s">
        <v>1295</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324">
        <f>IF(AG437=0,"",'Sources and Uses Budget'!C105/Application!AG437)</f>
        <v>482501.01250000001</v>
      </c>
      <c r="AD455" s="1324"/>
      <c r="AE455" s="1324"/>
      <c r="AF455" s="1324"/>
      <c r="AG455" s="366"/>
      <c r="AH455" s="366"/>
      <c r="AI455" s="366"/>
      <c r="AJ455" s="767"/>
      <c r="AZ455" s="2"/>
      <c r="BA455" s="2"/>
      <c r="BB455" s="2"/>
      <c r="BC455" s="2"/>
    </row>
    <row r="456" spans="1:55" ht="13" customHeight="1">
      <c r="D456" s="114" t="s">
        <v>1296</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324">
        <f>IF(AG437=0,"",('Sources and Uses Budget'!$S$107+'Sources and Uses Budget'!$T$107)/Application!AG437)</f>
        <v>451760.25</v>
      </c>
      <c r="AD456" s="1324"/>
      <c r="AE456" s="1324"/>
      <c r="AF456" s="1324"/>
      <c r="AG456" s="366"/>
      <c r="AH456" s="366"/>
      <c r="AI456" s="366"/>
      <c r="AJ456" s="767"/>
      <c r="AZ456" s="2"/>
      <c r="BA456" s="2"/>
      <c r="BB456" s="2"/>
      <c r="BC456" s="2"/>
    </row>
    <row r="457" spans="1:55" ht="13" customHeight="1">
      <c r="D457" s="366"/>
      <c r="E457" s="366"/>
      <c r="F457" s="1325" t="str">
        <f>IFERROR(IF(AC454&gt;650000,"Please provide a justification of cost per unit in Tab 12 for all projects with per unit costs of greater than $650,000.",""),"")</f>
        <v/>
      </c>
      <c r="G457" s="1325"/>
      <c r="H457" s="1325"/>
      <c r="I457" s="1325"/>
      <c r="J457" s="1325"/>
      <c r="K457" s="1325"/>
      <c r="L457" s="1325"/>
      <c r="M457" s="1325"/>
      <c r="N457" s="1325"/>
      <c r="O457" s="1325"/>
      <c r="P457" s="1325"/>
      <c r="Q457" s="1325"/>
      <c r="R457" s="1325"/>
      <c r="S457" s="1325"/>
      <c r="T457" s="1325"/>
      <c r="U457" s="1325"/>
      <c r="V457" s="1325"/>
      <c r="W457" s="1325"/>
      <c r="X457" s="1325"/>
      <c r="Y457" s="1325"/>
      <c r="Z457" s="1325"/>
      <c r="AA457" s="1325"/>
      <c r="AB457" s="1325"/>
      <c r="AC457" s="366"/>
      <c r="AD457" s="366"/>
      <c r="AE457" s="366"/>
      <c r="AF457" s="366"/>
      <c r="AG457" s="366"/>
      <c r="AH457" s="366"/>
      <c r="AI457" s="366"/>
      <c r="AJ457" s="767"/>
      <c r="AZ457" s="2"/>
      <c r="BA457" s="2"/>
      <c r="BB457" s="2"/>
      <c r="BC457" s="2"/>
    </row>
    <row r="458" spans="1:55" ht="13" customHeight="1">
      <c r="A458" s="1"/>
      <c r="D458" s="1"/>
      <c r="E458" s="366"/>
      <c r="F458" s="1325"/>
      <c r="G458" s="1325"/>
      <c r="H458" s="1325"/>
      <c r="I458" s="1325"/>
      <c r="J458" s="1325"/>
      <c r="K458" s="1325"/>
      <c r="L458" s="1325"/>
      <c r="M458" s="1325"/>
      <c r="N458" s="1325"/>
      <c r="O458" s="1325"/>
      <c r="P458" s="1325"/>
      <c r="Q458" s="1325"/>
      <c r="R458" s="1325"/>
      <c r="S458" s="1325"/>
      <c r="T458" s="1325"/>
      <c r="U458" s="1325"/>
      <c r="V458" s="1325"/>
      <c r="W458" s="1325"/>
      <c r="X458" s="1325"/>
      <c r="Y458" s="1325"/>
      <c r="Z458" s="1325"/>
      <c r="AA458" s="1325"/>
      <c r="AB458" s="1325"/>
      <c r="AC458" s="366"/>
      <c r="AD458" s="366"/>
      <c r="AE458" s="366"/>
      <c r="AF458" s="366"/>
      <c r="AG458" s="366"/>
      <c r="AH458" s="366"/>
      <c r="AI458" s="366"/>
      <c r="AJ458" s="767"/>
      <c r="AZ458" s="2"/>
      <c r="BA458" s="2"/>
      <c r="BB458" s="2"/>
      <c r="BC458" s="2"/>
    </row>
    <row r="459" spans="1:55" ht="13" customHeight="1">
      <c r="A459" s="1" t="s">
        <v>1297</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67"/>
      <c r="AZ459" s="2"/>
      <c r="BA459" s="2"/>
      <c r="BB459" s="2"/>
      <c r="BC459" s="2"/>
    </row>
    <row r="460" spans="1:55" ht="13" customHeight="1">
      <c r="D460" s="105" t="s">
        <v>1298</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67"/>
      <c r="AZ460" s="2"/>
      <c r="BA460" s="2"/>
      <c r="BB460" s="2"/>
      <c r="BC460" s="2"/>
    </row>
    <row r="461" spans="1:55" ht="13" customHeight="1">
      <c r="D461" s="105" t="s">
        <v>1299</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67"/>
      <c r="AZ461" s="2"/>
      <c r="BA461" s="2" t="str">
        <f>N583</f>
        <v>Yes</v>
      </c>
      <c r="BB461" s="2"/>
      <c r="BC461" s="2"/>
    </row>
    <row r="462" spans="1:55" ht="13" customHeight="1">
      <c r="D462" s="105" t="s">
        <v>1300</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67"/>
      <c r="AZ462" s="2"/>
      <c r="BA462" s="2" t="str">
        <f>AG583</f>
        <v>Yes</v>
      </c>
      <c r="BB462" s="2"/>
      <c r="BC462" s="2"/>
    </row>
    <row r="463" spans="1:55" ht="13"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67"/>
      <c r="AZ463" s="2"/>
      <c r="BA463" s="2"/>
      <c r="BB463" s="2"/>
      <c r="BC463" s="2"/>
    </row>
    <row r="464" spans="1:55" ht="13" customHeight="1">
      <c r="A464" s="2"/>
      <c r="B464" s="2"/>
      <c r="C464" s="2"/>
      <c r="D464" s="105" t="s">
        <v>1301</v>
      </c>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366"/>
      <c r="AE464" s="366"/>
      <c r="AF464" s="366"/>
      <c r="AG464" s="366"/>
      <c r="AH464" s="366"/>
      <c r="AI464" s="366"/>
      <c r="AJ464" s="767"/>
      <c r="AZ464" s="2"/>
      <c r="BA464" s="2"/>
      <c r="BB464" s="2"/>
      <c r="BC464" s="2"/>
    </row>
    <row r="465" spans="1:55" ht="13" customHeight="1">
      <c r="A465" s="2"/>
      <c r="B465" s="2"/>
      <c r="C465" s="2"/>
      <c r="D465" s="1326" t="s">
        <v>1302</v>
      </c>
      <c r="E465" s="1327"/>
      <c r="F465" s="1327"/>
      <c r="G465" s="1327"/>
      <c r="H465" s="1327"/>
      <c r="I465" s="1327"/>
      <c r="J465" s="1327"/>
      <c r="K465" s="1327"/>
      <c r="L465" s="1327"/>
      <c r="M465" s="1327"/>
      <c r="N465" s="1327"/>
      <c r="O465" s="1327"/>
      <c r="P465" s="1327"/>
      <c r="Q465" s="1327"/>
      <c r="R465" s="1327"/>
      <c r="S465" s="1327"/>
      <c r="T465" s="1327"/>
      <c r="U465" s="1327"/>
      <c r="V465" s="1328"/>
      <c r="W465" s="1341">
        <v>24</v>
      </c>
      <c r="X465" s="1342"/>
      <c r="Y465" s="1343"/>
      <c r="Z465" s="105"/>
      <c r="AA465" s="105"/>
      <c r="AB465" s="105"/>
      <c r="AC465" s="105"/>
      <c r="AD465" s="366"/>
      <c r="AE465" s="366"/>
      <c r="AF465" s="366"/>
      <c r="AG465" s="366"/>
      <c r="AH465" s="366"/>
      <c r="AI465" s="366"/>
      <c r="AJ465" s="767"/>
      <c r="AZ465" s="2"/>
      <c r="BA465" s="2"/>
      <c r="BB465" s="2"/>
      <c r="BC465" s="2"/>
    </row>
    <row r="466" spans="1:55" ht="13" customHeight="1">
      <c r="A466" s="2"/>
      <c r="B466" s="2"/>
      <c r="C466" s="2"/>
      <c r="D466" s="1326" t="s">
        <v>1303</v>
      </c>
      <c r="E466" s="1327"/>
      <c r="F466" s="1327"/>
      <c r="G466" s="1327"/>
      <c r="H466" s="1327"/>
      <c r="I466" s="1327"/>
      <c r="J466" s="1327"/>
      <c r="K466" s="1327"/>
      <c r="L466" s="1327"/>
      <c r="M466" s="1327"/>
      <c r="N466" s="1327"/>
      <c r="O466" s="1327"/>
      <c r="P466" s="1327"/>
      <c r="Q466" s="1327"/>
      <c r="R466" s="1327"/>
      <c r="S466" s="1327"/>
      <c r="T466" s="1327"/>
      <c r="U466" s="1327"/>
      <c r="V466" s="1328"/>
      <c r="W466" s="1341">
        <v>0</v>
      </c>
      <c r="X466" s="1342"/>
      <c r="Y466" s="1343"/>
      <c r="Z466" s="105"/>
      <c r="AA466" s="105"/>
      <c r="AB466" s="105"/>
      <c r="AC466" s="105"/>
      <c r="AD466" s="366"/>
      <c r="AE466" s="366"/>
      <c r="AF466" s="366"/>
      <c r="AG466" s="366"/>
      <c r="AH466" s="366"/>
      <c r="AI466" s="366"/>
      <c r="AJ466" s="767"/>
      <c r="AZ466" s="2"/>
      <c r="BA466" s="2"/>
      <c r="BB466" s="2"/>
      <c r="BC466" s="2"/>
    </row>
    <row r="467" spans="1:55" ht="13" customHeight="1">
      <c r="A467" s="2"/>
      <c r="B467" s="2"/>
      <c r="C467" s="2"/>
      <c r="D467" s="1326" t="s">
        <v>1304</v>
      </c>
      <c r="E467" s="1327"/>
      <c r="F467" s="1327"/>
      <c r="G467" s="1327"/>
      <c r="H467" s="1327"/>
      <c r="I467" s="1327"/>
      <c r="J467" s="1327"/>
      <c r="K467" s="1327"/>
      <c r="L467" s="1327"/>
      <c r="M467" s="1327"/>
      <c r="N467" s="1327"/>
      <c r="O467" s="1327"/>
      <c r="P467" s="1327"/>
      <c r="Q467" s="1327"/>
      <c r="R467" s="1327"/>
      <c r="S467" s="1327"/>
      <c r="T467" s="1327"/>
      <c r="U467" s="1327"/>
      <c r="V467" s="1328"/>
      <c r="W467" s="1341">
        <v>0</v>
      </c>
      <c r="X467" s="1342"/>
      <c r="Y467" s="1343"/>
      <c r="Z467" s="105"/>
      <c r="AA467" s="105"/>
      <c r="AB467" s="105"/>
      <c r="AC467" s="105"/>
      <c r="AD467" s="366"/>
      <c r="AE467" s="366"/>
      <c r="AF467" s="366"/>
      <c r="AG467" s="366"/>
      <c r="AH467" s="366"/>
      <c r="AI467" s="366"/>
      <c r="AJ467" s="767"/>
      <c r="AZ467" s="2"/>
      <c r="BA467" s="2"/>
      <c r="BB467" s="2"/>
      <c r="BC467" s="2"/>
    </row>
    <row r="468" spans="1:55" ht="13" customHeight="1">
      <c r="A468" s="2"/>
      <c r="B468" s="2"/>
      <c r="C468" s="2"/>
      <c r="D468" s="1326" t="s">
        <v>1305</v>
      </c>
      <c r="E468" s="1327"/>
      <c r="F468" s="1327"/>
      <c r="G468" s="1327"/>
      <c r="H468" s="1327"/>
      <c r="I468" s="1327"/>
      <c r="J468" s="1327"/>
      <c r="K468" s="1327"/>
      <c r="L468" s="1327"/>
      <c r="M468" s="1327"/>
      <c r="N468" s="1327"/>
      <c r="O468" s="1327"/>
      <c r="P468" s="1327"/>
      <c r="Q468" s="1327"/>
      <c r="R468" s="1327"/>
      <c r="S468" s="1327"/>
      <c r="T468" s="1327"/>
      <c r="U468" s="1327"/>
      <c r="V468" s="1328"/>
      <c r="W468" s="1341">
        <v>0</v>
      </c>
      <c r="X468" s="1342"/>
      <c r="Y468" s="1343"/>
      <c r="Z468" s="105"/>
      <c r="AA468" s="105"/>
      <c r="AB468" s="105"/>
      <c r="AC468" s="105"/>
      <c r="AD468" s="366"/>
      <c r="AE468" s="366"/>
      <c r="AF468" s="366"/>
      <c r="AG468" s="366"/>
      <c r="AH468" s="366"/>
      <c r="AI468" s="366"/>
      <c r="AJ468" s="767"/>
      <c r="AZ468" s="2"/>
      <c r="BA468" s="2"/>
      <c r="BB468" s="2"/>
      <c r="BC468" s="2"/>
    </row>
    <row r="469" spans="1:55" ht="13" customHeight="1">
      <c r="A469" s="2"/>
      <c r="B469" s="2"/>
      <c r="C469" s="2"/>
      <c r="D469" s="1326" t="s">
        <v>1306</v>
      </c>
      <c r="E469" s="1327"/>
      <c r="F469" s="1327"/>
      <c r="G469" s="1327"/>
      <c r="H469" s="1327"/>
      <c r="I469" s="1327"/>
      <c r="J469" s="1327"/>
      <c r="K469" s="1327"/>
      <c r="L469" s="1327"/>
      <c r="M469" s="1327"/>
      <c r="N469" s="1327"/>
      <c r="O469" s="1327"/>
      <c r="P469" s="1327"/>
      <c r="Q469" s="1327"/>
      <c r="R469" s="1327"/>
      <c r="S469" s="1327"/>
      <c r="T469" s="1327"/>
      <c r="U469" s="1327"/>
      <c r="V469" s="1328"/>
      <c r="W469" s="1341">
        <v>0</v>
      </c>
      <c r="X469" s="1342"/>
      <c r="Y469" s="1343"/>
      <c r="Z469" s="105"/>
      <c r="AA469" s="105"/>
      <c r="AB469" s="105"/>
      <c r="AC469" s="105"/>
      <c r="AD469" s="366"/>
      <c r="AE469" s="366"/>
      <c r="AF469" s="366"/>
      <c r="AG469" s="366"/>
      <c r="AH469" s="366"/>
      <c r="AI469" s="366"/>
      <c r="AJ469" s="767"/>
      <c r="AZ469" s="2"/>
      <c r="BA469" s="2" t="str">
        <f>N591</f>
        <v>Yes</v>
      </c>
      <c r="BB469" s="2"/>
      <c r="BC469" s="2"/>
    </row>
    <row r="470" spans="1:55" ht="13" customHeight="1">
      <c r="A470" s="2"/>
      <c r="B470" s="2"/>
      <c r="C470" s="2"/>
      <c r="D470" s="1326" t="s">
        <v>1307</v>
      </c>
      <c r="E470" s="1327"/>
      <c r="F470" s="1327"/>
      <c r="G470" s="1327"/>
      <c r="H470" s="1327"/>
      <c r="I470" s="1327"/>
      <c r="J470" s="1327"/>
      <c r="K470" s="1327"/>
      <c r="L470" s="1327"/>
      <c r="M470" s="1327"/>
      <c r="N470" s="1327"/>
      <c r="O470" s="1327"/>
      <c r="P470" s="1327"/>
      <c r="Q470" s="1327"/>
      <c r="R470" s="1327"/>
      <c r="S470" s="1327"/>
      <c r="T470" s="1327"/>
      <c r="U470" s="1327"/>
      <c r="V470" s="1328"/>
      <c r="W470" s="1341">
        <v>0</v>
      </c>
      <c r="X470" s="1342"/>
      <c r="Y470" s="1343"/>
      <c r="Z470" s="105"/>
      <c r="AA470" s="105"/>
      <c r="AB470" s="105"/>
      <c r="AC470" s="105"/>
      <c r="AD470" s="366"/>
      <c r="AE470" s="366"/>
      <c r="AF470" s="366"/>
      <c r="AG470" s="366"/>
      <c r="AH470" s="366"/>
      <c r="AI470" s="366"/>
      <c r="AJ470" s="767"/>
      <c r="AZ470" s="2"/>
      <c r="BA470" s="2" t="str">
        <f>AG591</f>
        <v>Yes</v>
      </c>
      <c r="BB470" s="2"/>
      <c r="BC470" s="2"/>
    </row>
    <row r="471" spans="1:55" ht="13" customHeight="1">
      <c r="A471" s="2"/>
      <c r="B471" s="2"/>
      <c r="C471" s="2"/>
      <c r="D471" s="1326" t="s">
        <v>1308</v>
      </c>
      <c r="E471" s="1327"/>
      <c r="F471" s="1327"/>
      <c r="G471" s="1327"/>
      <c r="H471" s="1327"/>
      <c r="I471" s="1327"/>
      <c r="J471" s="1327"/>
      <c r="K471" s="1327"/>
      <c r="L471" s="1327"/>
      <c r="M471" s="1327"/>
      <c r="N471" s="1327"/>
      <c r="O471" s="1327"/>
      <c r="P471" s="1327"/>
      <c r="Q471" s="1327"/>
      <c r="R471" s="1327"/>
      <c r="S471" s="1327"/>
      <c r="T471" s="1327"/>
      <c r="U471" s="1327"/>
      <c r="V471" s="1328"/>
      <c r="W471" s="1341">
        <v>0</v>
      </c>
      <c r="X471" s="1342"/>
      <c r="Y471" s="1343"/>
      <c r="Z471" s="105"/>
      <c r="AA471" s="105"/>
      <c r="AB471" s="105"/>
      <c r="AC471" s="105"/>
      <c r="AD471" s="366"/>
      <c r="AE471" s="366"/>
      <c r="AF471" s="366"/>
      <c r="AG471" s="366"/>
      <c r="AH471" s="366"/>
      <c r="AI471" s="366"/>
      <c r="AJ471" s="767"/>
      <c r="AZ471" s="2"/>
      <c r="BA471" s="2"/>
      <c r="BB471" s="2"/>
      <c r="BC471" s="2"/>
    </row>
    <row r="472" spans="1:55" ht="13" customHeight="1">
      <c r="A472" s="2"/>
      <c r="B472" s="2"/>
      <c r="C472" s="2"/>
      <c r="D472" s="1326" t="s">
        <v>1309</v>
      </c>
      <c r="E472" s="1327"/>
      <c r="F472" s="1327"/>
      <c r="G472" s="1327"/>
      <c r="H472" s="1327"/>
      <c r="I472" s="1327"/>
      <c r="J472" s="1327"/>
      <c r="K472" s="1327"/>
      <c r="L472" s="1327"/>
      <c r="M472" s="1327"/>
      <c r="N472" s="1327"/>
      <c r="O472" s="1327"/>
      <c r="P472" s="1327"/>
      <c r="Q472" s="1327"/>
      <c r="R472" s="1327"/>
      <c r="S472" s="1327"/>
      <c r="T472" s="1327"/>
      <c r="U472" s="1327"/>
      <c r="V472" s="1328"/>
      <c r="W472" s="1341">
        <v>0</v>
      </c>
      <c r="X472" s="1342"/>
      <c r="Y472" s="1343"/>
      <c r="Z472" s="105"/>
      <c r="AA472" s="105"/>
      <c r="AB472" s="105"/>
      <c r="AC472" s="105"/>
      <c r="AD472" s="366"/>
      <c r="AE472" s="366"/>
      <c r="AF472" s="366"/>
      <c r="AG472" s="366"/>
      <c r="AH472" s="366"/>
      <c r="AI472" s="366"/>
      <c r="AJ472" s="767"/>
      <c r="AZ472" s="2"/>
      <c r="BA472" s="2"/>
      <c r="BB472" s="2"/>
      <c r="BC472" s="2"/>
    </row>
    <row r="473" spans="1:55" ht="13" customHeight="1">
      <c r="A473" s="2"/>
      <c r="B473" s="2"/>
      <c r="C473" s="2"/>
      <c r="D473" s="1326" t="s">
        <v>1310</v>
      </c>
      <c r="E473" s="1327"/>
      <c r="F473" s="1327"/>
      <c r="G473" s="1327"/>
      <c r="H473" s="1327"/>
      <c r="I473" s="1327"/>
      <c r="J473" s="1327"/>
      <c r="K473" s="1327"/>
      <c r="L473" s="1327"/>
      <c r="M473" s="1327"/>
      <c r="N473" s="1327"/>
      <c r="O473" s="1327"/>
      <c r="P473" s="1327"/>
      <c r="Q473" s="1327"/>
      <c r="R473" s="1327"/>
      <c r="S473" s="1327"/>
      <c r="T473" s="1327"/>
      <c r="U473" s="1327"/>
      <c r="V473" s="1328"/>
      <c r="W473" s="1341">
        <v>0</v>
      </c>
      <c r="X473" s="1342"/>
      <c r="Y473" s="1343"/>
      <c r="Z473" s="105"/>
      <c r="AA473" s="105"/>
      <c r="AB473" s="105"/>
      <c r="AC473" s="105"/>
      <c r="AD473" s="366"/>
      <c r="AE473" s="366"/>
      <c r="AF473" s="366"/>
      <c r="AG473" s="366"/>
      <c r="AH473" s="366"/>
      <c r="AI473" s="366"/>
      <c r="AJ473" s="767"/>
      <c r="AZ473" s="2"/>
      <c r="BA473" s="2"/>
      <c r="BB473" s="2"/>
      <c r="BC473" s="2"/>
    </row>
    <row r="474" spans="1:55" ht="13" customHeight="1">
      <c r="A474" s="2"/>
      <c r="B474" s="2"/>
      <c r="C474" s="2"/>
      <c r="D474" s="1158" t="s">
        <v>233</v>
      </c>
      <c r="E474" s="1159"/>
      <c r="F474" s="1160"/>
      <c r="G474" s="1595"/>
      <c r="H474" s="1596"/>
      <c r="I474" s="1596"/>
      <c r="J474" s="1596"/>
      <c r="K474" s="1596"/>
      <c r="L474" s="1596"/>
      <c r="M474" s="1596"/>
      <c r="N474" s="1596"/>
      <c r="O474" s="1596"/>
      <c r="P474" s="1596"/>
      <c r="Q474" s="1596"/>
      <c r="R474" s="1596"/>
      <c r="S474" s="1596"/>
      <c r="T474" s="1596"/>
      <c r="U474" s="1596"/>
      <c r="V474" s="1597"/>
      <c r="W474" s="1341">
        <v>0</v>
      </c>
      <c r="X474" s="1342"/>
      <c r="Y474" s="1343"/>
      <c r="Z474" s="105"/>
      <c r="AA474" s="105"/>
      <c r="AB474" s="105"/>
      <c r="AC474" s="105"/>
      <c r="AD474" s="366"/>
      <c r="AE474" s="366"/>
      <c r="AF474" s="366"/>
      <c r="AG474" s="366"/>
      <c r="AH474" s="366"/>
      <c r="AI474" s="366"/>
      <c r="AJ474" s="767"/>
      <c r="AZ474" s="2"/>
      <c r="BA474" s="2"/>
      <c r="BB474" s="2"/>
      <c r="BC474" s="2"/>
    </row>
    <row r="475" spans="1:55" ht="13" customHeight="1">
      <c r="A475" s="2"/>
      <c r="B475" s="2"/>
      <c r="C475" s="2"/>
      <c r="D475" s="1161" t="s">
        <v>1311</v>
      </c>
      <c r="E475" s="1162"/>
      <c r="F475" s="1162"/>
      <c r="G475" s="105"/>
      <c r="H475" s="105"/>
      <c r="I475" s="105"/>
      <c r="J475" s="105"/>
      <c r="K475" s="105"/>
      <c r="L475" s="105"/>
      <c r="M475" s="105"/>
      <c r="N475" s="105"/>
      <c r="O475" s="105"/>
      <c r="P475" s="105"/>
      <c r="Q475" s="105"/>
      <c r="R475" s="105"/>
      <c r="S475" s="105"/>
      <c r="T475" s="105"/>
      <c r="U475" s="105"/>
      <c r="V475" s="105"/>
      <c r="W475" s="1163"/>
      <c r="X475" s="1163"/>
      <c r="Y475" s="1164"/>
      <c r="Z475" s="105"/>
      <c r="AA475" s="105"/>
      <c r="AB475" s="105"/>
      <c r="AC475" s="105"/>
      <c r="AD475" s="366"/>
      <c r="AE475" s="366"/>
      <c r="AF475" s="366"/>
      <c r="AG475" s="366"/>
      <c r="AH475" s="366"/>
      <c r="AI475" s="366"/>
      <c r="AJ475" s="767"/>
      <c r="AZ475" s="2"/>
      <c r="BA475" s="2"/>
      <c r="BB475" s="2"/>
      <c r="BC475" s="2"/>
    </row>
    <row r="476" spans="1:55" ht="13" customHeight="1">
      <c r="A476" s="2"/>
      <c r="B476" s="2"/>
      <c r="C476" s="2"/>
      <c r="D476" s="1080"/>
      <c r="E476" s="1064"/>
      <c r="F476" s="1064"/>
      <c r="G476" s="1064"/>
      <c r="H476" s="1064"/>
      <c r="I476" s="1064"/>
      <c r="J476" s="1064"/>
      <c r="K476" s="1064"/>
      <c r="L476" s="1064"/>
      <c r="M476" s="1064"/>
      <c r="N476" s="1064"/>
      <c r="O476" s="1064"/>
      <c r="P476" s="1064"/>
      <c r="Q476" s="1064"/>
      <c r="R476" s="1064"/>
      <c r="S476" s="1064"/>
      <c r="T476" s="1064"/>
      <c r="U476" s="1064"/>
      <c r="V476" s="1064"/>
      <c r="W476" s="1165"/>
      <c r="X476" s="1165"/>
      <c r="Y476" s="1166"/>
      <c r="Z476" s="105"/>
      <c r="AA476" s="105"/>
      <c r="AB476" s="105"/>
      <c r="AC476" s="105"/>
      <c r="AD476" s="366"/>
      <c r="AE476" s="366"/>
      <c r="AF476" s="366"/>
      <c r="AG476" s="366"/>
      <c r="AH476" s="366"/>
      <c r="AI476" s="366"/>
      <c r="AJ476" s="767"/>
      <c r="AZ476" s="2"/>
      <c r="BA476" s="2"/>
      <c r="BB476" s="2"/>
      <c r="BC476" s="2"/>
    </row>
    <row r="477" spans="1:55" ht="13" customHeight="1">
      <c r="A477" s="2"/>
      <c r="B477" s="2"/>
      <c r="C477" s="2"/>
      <c r="D477" s="1080"/>
      <c r="E477" s="1064"/>
      <c r="F477" s="1064"/>
      <c r="G477" s="1064"/>
      <c r="H477" s="1064"/>
      <c r="I477" s="1064"/>
      <c r="J477" s="1064"/>
      <c r="K477" s="1064"/>
      <c r="L477" s="1064"/>
      <c r="M477" s="1064"/>
      <c r="N477" s="1064"/>
      <c r="O477" s="1064"/>
      <c r="P477" s="1064"/>
      <c r="Q477" s="1064"/>
      <c r="R477" s="1064"/>
      <c r="S477" s="1064"/>
      <c r="T477" s="1064"/>
      <c r="U477" s="1064"/>
      <c r="V477" s="1064"/>
      <c r="W477" s="1165"/>
      <c r="X477" s="1165"/>
      <c r="Y477" s="1166"/>
      <c r="Z477" s="105"/>
      <c r="AA477" s="105"/>
      <c r="AB477" s="105"/>
      <c r="AC477" s="105"/>
      <c r="AD477" s="366"/>
      <c r="AE477" s="366"/>
      <c r="AF477" s="366"/>
      <c r="AG477" s="366"/>
      <c r="AH477" s="366"/>
      <c r="AI477" s="366"/>
      <c r="AJ477" s="767"/>
      <c r="AZ477" s="2"/>
      <c r="BA477" s="2"/>
      <c r="BB477" s="2"/>
      <c r="BC477" s="2"/>
    </row>
    <row r="478" spans="1:55" ht="13" customHeight="1">
      <c r="A478" s="2"/>
      <c r="B478" s="2"/>
      <c r="C478" s="2"/>
      <c r="D478" s="1080"/>
      <c r="E478" s="1064"/>
      <c r="F478" s="1064"/>
      <c r="G478" s="1064"/>
      <c r="H478" s="1064"/>
      <c r="I478" s="1064"/>
      <c r="J478" s="1064"/>
      <c r="K478" s="1064"/>
      <c r="L478" s="1064"/>
      <c r="M478" s="1064"/>
      <c r="N478" s="1064"/>
      <c r="O478" s="1064"/>
      <c r="P478" s="1064"/>
      <c r="Q478" s="1064"/>
      <c r="R478" s="1064"/>
      <c r="S478" s="1064"/>
      <c r="T478" s="1064"/>
      <c r="U478" s="1064"/>
      <c r="V478" s="1064"/>
      <c r="W478" s="1165"/>
      <c r="X478" s="1165"/>
      <c r="Y478" s="1166"/>
      <c r="Z478" s="105"/>
      <c r="AA478" s="105"/>
      <c r="AB478" s="105"/>
      <c r="AC478" s="105"/>
      <c r="AD478" s="366"/>
      <c r="AE478" s="366"/>
      <c r="AF478" s="366"/>
      <c r="AG478" s="366"/>
      <c r="AH478" s="366"/>
      <c r="AI478" s="366"/>
      <c r="AJ478" s="767"/>
      <c r="AZ478" s="2"/>
      <c r="BA478" s="2" t="str">
        <f>N599</f>
        <v>Yes</v>
      </c>
      <c r="BB478" s="2"/>
      <c r="BC478" s="2"/>
    </row>
    <row r="479" spans="1:55" ht="13" customHeight="1">
      <c r="AU479" s="54"/>
      <c r="AV479" s="54"/>
      <c r="AW479" s="54"/>
      <c r="AX479" s="54"/>
      <c r="AY479" s="54"/>
      <c r="AZ479" s="2"/>
      <c r="BA479" s="2" t="str">
        <f>AG599</f>
        <v>No</v>
      </c>
      <c r="BB479" s="2"/>
      <c r="BC479" s="2"/>
    </row>
    <row r="480" spans="1:55" ht="13" customHeight="1">
      <c r="A480" s="1486" t="s">
        <v>1312</v>
      </c>
      <c r="B480" s="1486"/>
      <c r="C480" s="1486"/>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1486"/>
      <c r="AA480" s="1486"/>
      <c r="AB480" s="1486"/>
      <c r="AC480" s="1486"/>
      <c r="AD480" s="1486"/>
      <c r="AE480" s="1486"/>
      <c r="AF480" s="1486"/>
      <c r="AG480" s="1486"/>
      <c r="AH480" s="1486"/>
      <c r="AI480" s="1486"/>
      <c r="AJ480" s="1486"/>
      <c r="AK480" s="1486"/>
      <c r="AL480" s="1486"/>
      <c r="AM480" s="1486"/>
      <c r="AN480" s="1486"/>
      <c r="AO480" s="1486"/>
      <c r="AP480" s="1486"/>
      <c r="AQ480" s="1486"/>
      <c r="AR480" s="1486"/>
      <c r="AS480" s="1486"/>
      <c r="AT480" s="1486"/>
      <c r="AU480" s="54"/>
      <c r="AV480" s="54"/>
      <c r="AW480" s="54"/>
      <c r="AX480" s="54"/>
      <c r="AY480" s="54"/>
      <c r="AZ480" s="2"/>
      <c r="BB480" s="2"/>
      <c r="BC480" s="2"/>
    </row>
    <row r="481" spans="1:55" ht="13" customHeight="1">
      <c r="A481" s="1486"/>
      <c r="B481" s="1486"/>
      <c r="C481" s="1486"/>
      <c r="D481" s="1486"/>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1486"/>
      <c r="AA481" s="1486"/>
      <c r="AB481" s="1486"/>
      <c r="AC481" s="1486"/>
      <c r="AD481" s="1486"/>
      <c r="AE481" s="1486"/>
      <c r="AF481" s="1486"/>
      <c r="AG481" s="1486"/>
      <c r="AH481" s="1486"/>
      <c r="AI481" s="1486"/>
      <c r="AJ481" s="1486"/>
      <c r="AK481" s="1486"/>
      <c r="AL481" s="1486"/>
      <c r="AM481" s="1486"/>
      <c r="AN481" s="1486"/>
      <c r="AO481" s="1486"/>
      <c r="AP481" s="1486"/>
      <c r="AQ481" s="1486"/>
      <c r="AR481" s="1486"/>
      <c r="AS481" s="1486"/>
      <c r="AT481" s="1486"/>
      <c r="AZ481" s="2"/>
      <c r="BB481" s="2"/>
      <c r="BC481" s="2"/>
    </row>
    <row r="482" spans="1:55" ht="13" customHeight="1">
      <c r="AZ482" s="2"/>
      <c r="BB482" s="2"/>
      <c r="BC482" s="2"/>
    </row>
    <row r="483" spans="1:55" ht="13" customHeight="1">
      <c r="A483" s="1" t="s">
        <v>872</v>
      </c>
      <c r="C483" s="1" t="s">
        <v>165</v>
      </c>
      <c r="AZ483" s="2"/>
      <c r="BB483" s="2"/>
      <c r="BC483" s="2"/>
    </row>
    <row r="484" spans="1:55" ht="13" customHeight="1">
      <c r="AZ484" s="2"/>
      <c r="BB484" s="2"/>
      <c r="BC484" s="2"/>
    </row>
    <row r="485" spans="1:55" ht="13" customHeight="1">
      <c r="B485" s="1083"/>
      <c r="C485" s="4"/>
      <c r="D485" s="4"/>
      <c r="E485" s="4"/>
      <c r="F485" s="4"/>
      <c r="G485" s="4"/>
      <c r="H485" s="4"/>
      <c r="I485" s="4"/>
      <c r="J485" s="4"/>
      <c r="K485" s="4"/>
      <c r="L485" s="4"/>
      <c r="M485" s="4"/>
      <c r="N485" s="4"/>
      <c r="O485" s="4"/>
      <c r="P485" s="1084"/>
      <c r="Q485" s="1336" t="s">
        <v>1313</v>
      </c>
      <c r="R485" s="1337"/>
      <c r="S485" s="1337"/>
      <c r="T485" s="1337"/>
      <c r="U485" s="1337"/>
      <c r="V485" s="1337"/>
      <c r="W485" s="1337"/>
      <c r="X485" s="1337"/>
      <c r="Y485" s="1337"/>
      <c r="Z485" s="1337"/>
      <c r="AA485" s="1337"/>
      <c r="AB485" s="1337"/>
      <c r="AC485" s="1337"/>
      <c r="AD485" s="1337"/>
      <c r="AE485" s="1337"/>
      <c r="AF485" s="1337"/>
      <c r="AG485" s="1337"/>
      <c r="AH485" s="1337"/>
      <c r="AI485" s="1337"/>
      <c r="AJ485" s="1337"/>
      <c r="AK485" s="1338"/>
      <c r="AZ485" s="2"/>
      <c r="BB485" s="2"/>
      <c r="BC485" s="2"/>
    </row>
    <row r="486" spans="1:55" ht="13" customHeight="1">
      <c r="B486" s="1083" t="s">
        <v>1314</v>
      </c>
      <c r="C486" s="4"/>
      <c r="D486" s="4"/>
      <c r="E486" s="4"/>
      <c r="F486" s="4"/>
      <c r="G486" s="4"/>
      <c r="H486" s="4"/>
      <c r="I486" s="4"/>
      <c r="J486" s="4"/>
      <c r="K486" s="4"/>
      <c r="L486" s="4"/>
      <c r="M486" s="4"/>
      <c r="N486" s="4"/>
      <c r="O486" s="4"/>
      <c r="P486" s="4"/>
      <c r="Q486" s="1321" t="s">
        <v>1315</v>
      </c>
      <c r="R486" s="1322"/>
      <c r="S486" s="1322"/>
      <c r="T486" s="1322"/>
      <c r="U486" s="1322"/>
      <c r="V486" s="1322"/>
      <c r="W486" s="1322"/>
      <c r="X486" s="1322"/>
      <c r="Y486" s="1322"/>
      <c r="Z486" s="1322"/>
      <c r="AA486" s="1322"/>
      <c r="AB486" s="1322"/>
      <c r="AC486" s="1322"/>
      <c r="AD486" s="1322"/>
      <c r="AE486" s="1322"/>
      <c r="AF486" s="1322"/>
      <c r="AG486" s="1322"/>
      <c r="AH486" s="1322"/>
      <c r="AI486" s="1322"/>
      <c r="AJ486" s="1322"/>
      <c r="AK486" s="1323"/>
      <c r="AZ486" s="2"/>
      <c r="BB486" s="2"/>
      <c r="BC486" s="2"/>
    </row>
    <row r="487" spans="1:55" ht="13" customHeight="1">
      <c r="B487" s="1083" t="s">
        <v>1316</v>
      </c>
      <c r="C487" s="4"/>
      <c r="D487" s="4"/>
      <c r="E487" s="4"/>
      <c r="F487" s="4"/>
      <c r="G487" s="4"/>
      <c r="H487" s="4"/>
      <c r="I487" s="4"/>
      <c r="J487" s="4"/>
      <c r="K487" s="4"/>
      <c r="L487" s="4"/>
      <c r="M487" s="4"/>
      <c r="N487" s="4"/>
      <c r="O487" s="4"/>
      <c r="P487" s="4"/>
      <c r="Q487" s="1393" t="s">
        <v>1317</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Z487" s="2"/>
      <c r="BB487" s="2"/>
      <c r="BC487" s="2"/>
    </row>
    <row r="488" spans="1:55" ht="13" customHeight="1">
      <c r="B488" s="1083" t="s">
        <v>1318</v>
      </c>
      <c r="C488" s="4"/>
      <c r="D488" s="4"/>
      <c r="E488" s="4"/>
      <c r="F488" s="4"/>
      <c r="G488" s="4"/>
      <c r="H488" s="4"/>
      <c r="I488" s="4"/>
      <c r="J488" s="4"/>
      <c r="K488" s="4"/>
      <c r="L488" s="4"/>
      <c r="M488" s="4"/>
      <c r="N488" s="4"/>
      <c r="O488" s="4"/>
      <c r="P488" s="4"/>
      <c r="Q488" s="1393" t="s">
        <v>1319</v>
      </c>
      <c r="R488" s="1322"/>
      <c r="S488" s="1322"/>
      <c r="T488" s="1322"/>
      <c r="U488" s="1322"/>
      <c r="V488" s="1322"/>
      <c r="W488" s="1322"/>
      <c r="X488" s="1322"/>
      <c r="Y488" s="1322"/>
      <c r="Z488" s="1322"/>
      <c r="AA488" s="1322"/>
      <c r="AB488" s="1322"/>
      <c r="AC488" s="1322"/>
      <c r="AD488" s="1322"/>
      <c r="AE488" s="1322"/>
      <c r="AF488" s="1322"/>
      <c r="AG488" s="1322"/>
      <c r="AH488" s="1322"/>
      <c r="AI488" s="1322"/>
      <c r="AJ488" s="1322"/>
      <c r="AK488" s="1323"/>
      <c r="AZ488" s="2"/>
      <c r="BA488" s="2"/>
      <c r="BB488" s="2"/>
      <c r="BC488" s="2"/>
    </row>
    <row r="489" spans="1:55" ht="13" customHeight="1">
      <c r="B489" s="1383" t="s">
        <v>1320</v>
      </c>
      <c r="C489" s="1384"/>
      <c r="D489" s="1384"/>
      <c r="E489" s="1384"/>
      <c r="F489" s="1384"/>
      <c r="G489" s="1384"/>
      <c r="H489" s="1384"/>
      <c r="I489" s="1384"/>
      <c r="J489" s="1384"/>
      <c r="K489" s="1384"/>
      <c r="L489" s="1384"/>
      <c r="M489" s="1384"/>
      <c r="N489" s="1384"/>
      <c r="O489" s="1384"/>
      <c r="P489" s="1385"/>
      <c r="Q489" s="1389" t="s">
        <v>695</v>
      </c>
      <c r="R489" s="1390"/>
      <c r="S489" s="1473" t="s">
        <v>1321</v>
      </c>
      <c r="T489" s="1474"/>
      <c r="U489" s="1474"/>
      <c r="V489" s="1474"/>
      <c r="W489" s="1474"/>
      <c r="X489" s="1474"/>
      <c r="Y489" s="1474"/>
      <c r="Z489" s="1474"/>
      <c r="AA489" s="1474"/>
      <c r="AB489" s="1474"/>
      <c r="AC489" s="1474"/>
      <c r="AD489" s="1474"/>
      <c r="AE489" s="1474"/>
      <c r="AF489" s="1474"/>
      <c r="AG489" s="1474"/>
      <c r="AH489" s="1474"/>
      <c r="AI489" s="1474"/>
      <c r="AJ489" s="1474"/>
      <c r="AK489" s="1475"/>
      <c r="AZ489" s="2"/>
      <c r="BA489" s="2"/>
      <c r="BB489" s="2"/>
      <c r="BC489" s="2"/>
    </row>
    <row r="490" spans="1:55" ht="13" customHeight="1">
      <c r="B490" s="1386"/>
      <c r="C490" s="1387"/>
      <c r="D490" s="1387"/>
      <c r="E490" s="1387"/>
      <c r="F490" s="1387"/>
      <c r="G490" s="1387"/>
      <c r="H490" s="1387"/>
      <c r="I490" s="1387"/>
      <c r="J490" s="1387"/>
      <c r="K490" s="1387"/>
      <c r="L490" s="1387"/>
      <c r="M490" s="1387"/>
      <c r="N490" s="1387"/>
      <c r="O490" s="1387"/>
      <c r="P490" s="1388"/>
      <c r="Q490" s="1391"/>
      <c r="R490" s="1392"/>
      <c r="S490" s="1476"/>
      <c r="T490" s="1477"/>
      <c r="U490" s="1477"/>
      <c r="V490" s="1477"/>
      <c r="W490" s="1477"/>
      <c r="X490" s="1477"/>
      <c r="Y490" s="1477"/>
      <c r="Z490" s="1477"/>
      <c r="AA490" s="1477"/>
      <c r="AB490" s="1477"/>
      <c r="AC490" s="1477"/>
      <c r="AD490" s="1477"/>
      <c r="AE490" s="1477"/>
      <c r="AF490" s="1477"/>
      <c r="AG490" s="1477"/>
      <c r="AH490" s="1477"/>
      <c r="AI490" s="1477"/>
      <c r="AJ490" s="1477"/>
      <c r="AK490" s="1478"/>
      <c r="AZ490" s="2"/>
      <c r="BA490" s="2"/>
      <c r="BB490" s="2"/>
      <c r="BC490" s="2"/>
    </row>
    <row r="491" spans="1:55" ht="13" customHeight="1">
      <c r="B491" s="707" t="s">
        <v>1322</v>
      </c>
      <c r="C491" s="1101"/>
      <c r="D491" s="1101"/>
      <c r="E491" s="1101"/>
      <c r="F491" s="1101"/>
      <c r="G491" s="1101"/>
      <c r="H491" s="1101"/>
      <c r="I491" s="1101"/>
      <c r="J491" s="1101"/>
      <c r="K491" s="1101"/>
      <c r="L491" s="1101"/>
      <c r="M491" s="1101"/>
      <c r="N491" s="1101"/>
      <c r="O491" s="1101"/>
      <c r="P491" s="1101"/>
      <c r="Q491" s="1329"/>
      <c r="R491" s="1330"/>
      <c r="S491" s="1330"/>
      <c r="T491" s="1330"/>
      <c r="U491" s="1330"/>
      <c r="V491" s="1330"/>
      <c r="W491" s="1330"/>
      <c r="X491" s="1330"/>
      <c r="Y491" s="1330"/>
      <c r="Z491" s="1330"/>
      <c r="AA491" s="1330"/>
      <c r="AB491" s="1330"/>
      <c r="AC491" s="1330"/>
      <c r="AD491" s="1330"/>
      <c r="AE491" s="1330"/>
      <c r="AF491" s="1330"/>
      <c r="AG491" s="1330"/>
      <c r="AH491" s="1330"/>
      <c r="AI491" s="1330"/>
      <c r="AJ491" s="1330"/>
      <c r="AK491" s="1331"/>
      <c r="AZ491" s="2"/>
      <c r="BA491" s="2"/>
      <c r="BB491" s="2"/>
      <c r="BC491" s="2"/>
    </row>
    <row r="492" spans="1:55" ht="13" customHeight="1">
      <c r="B492" s="1083" t="s">
        <v>1323</v>
      </c>
      <c r="C492" s="4"/>
      <c r="D492" s="4"/>
      <c r="E492" s="4"/>
      <c r="F492" s="4"/>
      <c r="G492" s="4"/>
      <c r="H492" s="4"/>
      <c r="I492" s="4"/>
      <c r="J492" s="4"/>
      <c r="K492" s="4"/>
      <c r="L492" s="4"/>
      <c r="M492" s="4"/>
      <c r="N492" s="4"/>
      <c r="O492" s="4"/>
      <c r="P492" s="4"/>
      <c r="Q492" s="1321">
        <v>0</v>
      </c>
      <c r="R492" s="1322"/>
      <c r="S492" s="1322"/>
      <c r="T492" s="1322"/>
      <c r="U492" s="1322"/>
      <c r="V492" s="1322"/>
      <c r="W492" s="1322"/>
      <c r="X492" s="1322"/>
      <c r="Y492" s="1322"/>
      <c r="Z492" s="1322"/>
      <c r="AA492" s="1322"/>
      <c r="AB492" s="1322"/>
      <c r="AC492" s="1322"/>
      <c r="AD492" s="1322"/>
      <c r="AE492" s="1322"/>
      <c r="AF492" s="1322"/>
      <c r="AG492" s="1322"/>
      <c r="AH492" s="1322"/>
      <c r="AI492" s="1322"/>
      <c r="AJ492" s="1322"/>
      <c r="AK492" s="1323"/>
      <c r="AZ492" s="2"/>
      <c r="BA492" s="2"/>
      <c r="BB492" s="2"/>
      <c r="BC492" s="2"/>
    </row>
    <row r="493" spans="1:55" ht="13" customHeight="1">
      <c r="B493" s="1083" t="s">
        <v>1324</v>
      </c>
      <c r="C493" s="4"/>
      <c r="D493" s="4"/>
      <c r="E493" s="4"/>
      <c r="F493" s="4"/>
      <c r="G493" s="4"/>
      <c r="H493" s="4"/>
      <c r="I493" s="4"/>
      <c r="J493" s="4"/>
      <c r="K493" s="4"/>
      <c r="L493" s="4"/>
      <c r="M493" s="4"/>
      <c r="N493" s="4"/>
      <c r="O493" s="4"/>
      <c r="P493" s="4"/>
      <c r="Q493" s="1321">
        <v>0</v>
      </c>
      <c r="R493" s="1322"/>
      <c r="S493" s="1322"/>
      <c r="T493" s="1322"/>
      <c r="U493" s="1322"/>
      <c r="V493" s="1322"/>
      <c r="W493" s="1322"/>
      <c r="X493" s="1322"/>
      <c r="Y493" s="1322"/>
      <c r="Z493" s="1322"/>
      <c r="AA493" s="1322"/>
      <c r="AB493" s="1322"/>
      <c r="AC493" s="1322"/>
      <c r="AD493" s="1322"/>
      <c r="AE493" s="1322"/>
      <c r="AF493" s="1322"/>
      <c r="AG493" s="1322"/>
      <c r="AH493" s="1322"/>
      <c r="AI493" s="1322"/>
      <c r="AJ493" s="1322"/>
      <c r="AK493" s="1323"/>
      <c r="AZ493" s="2"/>
      <c r="BA493" s="2"/>
      <c r="BB493" s="2"/>
      <c r="BC493" s="2"/>
    </row>
    <row r="494" spans="1:55" ht="13" customHeight="1">
      <c r="B494" s="1090" t="s">
        <v>1325</v>
      </c>
      <c r="C494" s="4"/>
      <c r="D494" s="4"/>
      <c r="E494" s="4"/>
      <c r="F494" s="4"/>
      <c r="G494" s="4"/>
      <c r="H494" s="4"/>
      <c r="I494" s="4"/>
      <c r="J494" s="4"/>
      <c r="K494" s="4"/>
      <c r="L494" s="4"/>
      <c r="M494" s="4"/>
      <c r="N494" s="4"/>
      <c r="O494" s="4"/>
      <c r="P494" s="4"/>
      <c r="Q494" s="1321">
        <v>80</v>
      </c>
      <c r="R494" s="1322"/>
      <c r="S494" s="1322"/>
      <c r="T494" s="1322"/>
      <c r="U494" s="1322"/>
      <c r="V494" s="1322"/>
      <c r="W494" s="1322"/>
      <c r="X494" s="1322"/>
      <c r="Y494" s="1322"/>
      <c r="Z494" s="1322"/>
      <c r="AA494" s="1322"/>
      <c r="AB494" s="1322"/>
      <c r="AC494" s="1322"/>
      <c r="AD494" s="1322"/>
      <c r="AE494" s="1322"/>
      <c r="AF494" s="1322"/>
      <c r="AG494" s="1322"/>
      <c r="AH494" s="1322"/>
      <c r="AI494" s="1322"/>
      <c r="AJ494" s="1322"/>
      <c r="AK494" s="1323"/>
      <c r="AZ494" s="2"/>
      <c r="BA494" s="2"/>
      <c r="BB494" s="2"/>
      <c r="BC494" s="2"/>
    </row>
    <row r="495" spans="1:55" ht="13" customHeight="1">
      <c r="B495" s="1090" t="s">
        <v>1326</v>
      </c>
      <c r="C495" s="4"/>
      <c r="D495" s="4"/>
      <c r="E495" s="4"/>
      <c r="F495" s="4"/>
      <c r="G495" s="4"/>
      <c r="H495" s="4"/>
      <c r="I495" s="4"/>
      <c r="J495" s="4"/>
      <c r="K495" s="4"/>
      <c r="L495" s="4"/>
      <c r="M495" s="1332"/>
      <c r="N495" s="1333"/>
      <c r="O495" s="1333"/>
      <c r="P495" s="1334"/>
      <c r="Q495" s="1090" t="s">
        <v>1327</v>
      </c>
      <c r="R495" s="4"/>
      <c r="S495" s="4"/>
      <c r="T495" s="4"/>
      <c r="U495" s="4"/>
      <c r="V495" s="4"/>
      <c r="W495" s="4"/>
      <c r="X495" s="4"/>
      <c r="Y495" s="4"/>
      <c r="Z495" s="4"/>
      <c r="AA495" s="4"/>
      <c r="AB495" s="4"/>
      <c r="AC495" s="4"/>
      <c r="AD495" s="4"/>
      <c r="AE495" s="4"/>
      <c r="AF495" s="4"/>
      <c r="AG495" s="4"/>
      <c r="AH495" s="1332">
        <v>80</v>
      </c>
      <c r="AI495" s="1333"/>
      <c r="AJ495" s="1333"/>
      <c r="AK495" s="1334"/>
      <c r="AZ495" s="2"/>
      <c r="BA495" s="2"/>
      <c r="BB495" s="2"/>
      <c r="BC495" s="2"/>
    </row>
    <row r="496" spans="1:55" ht="13"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3" customHeight="1">
      <c r="A497" s="1" t="s">
        <v>913</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3"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3"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36" t="s">
        <v>1328</v>
      </c>
      <c r="AD499" s="1337"/>
      <c r="AE499" s="1337"/>
      <c r="AF499" s="1337"/>
      <c r="AG499" s="1337"/>
      <c r="AH499" s="1337"/>
      <c r="AI499" s="1337"/>
      <c r="AJ499" s="1337"/>
      <c r="AK499" s="1338"/>
      <c r="AZ499" s="2"/>
      <c r="BA499" s="2"/>
      <c r="BB499" s="2"/>
      <c r="BC499" s="2"/>
      <c r="BD499" s="2"/>
      <c r="BE499" s="2"/>
      <c r="BF499" s="2"/>
      <c r="BG499" s="2"/>
      <c r="BH499" s="2"/>
      <c r="BI499" s="2"/>
      <c r="BJ499" s="2"/>
      <c r="BK499" s="2"/>
      <c r="BL499" s="2"/>
      <c r="BM499" s="2"/>
      <c r="BN499" s="2"/>
    </row>
    <row r="500" spans="1:66" ht="13"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36" t="s">
        <v>1329</v>
      </c>
      <c r="AD500" s="1337"/>
      <c r="AE500" s="1337"/>
      <c r="AF500" s="1337"/>
      <c r="AG500" s="1103" t="s">
        <v>1330</v>
      </c>
      <c r="AH500" s="1337" t="s">
        <v>1331</v>
      </c>
      <c r="AI500" s="1337"/>
      <c r="AJ500" s="1337"/>
      <c r="AK500" s="1338"/>
      <c r="AZ500" s="2"/>
      <c r="BA500" s="2"/>
      <c r="BB500" s="2"/>
      <c r="BC500" s="2"/>
      <c r="BD500" s="2"/>
      <c r="BE500" s="2"/>
      <c r="BF500" s="2"/>
      <c r="BG500" s="2"/>
      <c r="BH500" s="2"/>
      <c r="BI500" s="2"/>
      <c r="BJ500" s="2"/>
      <c r="BK500" s="2"/>
      <c r="BL500" s="2"/>
      <c r="BM500" s="2"/>
      <c r="BN500" s="2"/>
    </row>
    <row r="501" spans="1:66" ht="13" customHeight="1">
      <c r="B501" s="1344" t="s">
        <v>1332</v>
      </c>
      <c r="C501" s="1345"/>
      <c r="D501" s="1345"/>
      <c r="E501" s="1345"/>
      <c r="F501" s="1345"/>
      <c r="G501" s="1345"/>
      <c r="H501" s="1346"/>
      <c r="I501" s="30" t="s">
        <v>1333</v>
      </c>
      <c r="J501" s="30"/>
      <c r="K501" s="30"/>
      <c r="L501" s="30"/>
      <c r="M501" s="30"/>
      <c r="N501" s="30"/>
      <c r="O501" s="30"/>
      <c r="P501" s="30"/>
      <c r="Q501" s="30"/>
      <c r="R501" s="30"/>
      <c r="S501" s="30"/>
      <c r="T501" s="30"/>
      <c r="U501" s="30"/>
      <c r="V501" s="30"/>
      <c r="W501" s="30"/>
      <c r="AC501" s="1339" t="s">
        <v>800</v>
      </c>
      <c r="AD501" s="1340"/>
      <c r="AE501" s="1340"/>
      <c r="AF501" s="1340"/>
      <c r="AG501" s="1066" t="s">
        <v>1330</v>
      </c>
      <c r="AH501" s="1362">
        <v>0</v>
      </c>
      <c r="AI501" s="1362"/>
      <c r="AJ501" s="1362"/>
      <c r="AK501" s="1363"/>
      <c r="AZ501" s="2"/>
      <c r="BA501" s="2"/>
      <c r="BB501" s="2"/>
      <c r="BC501" s="2"/>
      <c r="BD501" s="2"/>
      <c r="BE501" s="2"/>
      <c r="BF501" s="2"/>
      <c r="BG501" s="2"/>
      <c r="BH501" s="2"/>
      <c r="BI501" s="2"/>
      <c r="BJ501" s="2"/>
      <c r="BK501" s="2"/>
      <c r="BL501" s="2"/>
      <c r="BM501" s="2"/>
      <c r="BN501" s="2"/>
    </row>
    <row r="502" spans="1:66" ht="13" customHeight="1">
      <c r="B502" s="1347"/>
      <c r="C502" s="1348"/>
      <c r="D502" s="1348"/>
      <c r="E502" s="1348"/>
      <c r="F502" s="1348"/>
      <c r="G502" s="1348"/>
      <c r="H502" s="1349"/>
      <c r="I502" s="32" t="s">
        <v>1334</v>
      </c>
      <c r="J502" s="32"/>
      <c r="K502" s="32"/>
      <c r="L502" s="32"/>
      <c r="M502" s="32"/>
      <c r="N502" s="32"/>
      <c r="O502" s="32"/>
      <c r="P502" s="32"/>
      <c r="Q502" s="32"/>
      <c r="R502" s="32"/>
      <c r="S502" s="32"/>
      <c r="T502" s="32"/>
      <c r="U502" s="32"/>
      <c r="V502" s="32"/>
      <c r="W502" s="32"/>
      <c r="X502" s="32"/>
      <c r="Y502" s="32"/>
      <c r="Z502" s="32"/>
      <c r="AA502" s="32"/>
      <c r="AB502" s="32"/>
      <c r="AC502" s="1339">
        <v>10</v>
      </c>
      <c r="AD502" s="1340"/>
      <c r="AE502" s="1340"/>
      <c r="AF502" s="1340"/>
      <c r="AG502" s="1089" t="s">
        <v>1330</v>
      </c>
      <c r="AH502" s="1362">
        <v>2025</v>
      </c>
      <c r="AI502" s="1362"/>
      <c r="AJ502" s="1362"/>
      <c r="AK502" s="1363"/>
      <c r="AZ502" s="2"/>
      <c r="BA502" s="2"/>
      <c r="BB502" s="2"/>
      <c r="BC502" s="2"/>
      <c r="BD502" s="2"/>
      <c r="BE502" s="2"/>
      <c r="BF502" s="2"/>
      <c r="BG502" s="2"/>
      <c r="BH502" s="2"/>
      <c r="BI502" s="2"/>
      <c r="BJ502" s="2"/>
      <c r="BK502" s="2"/>
      <c r="BL502" s="2"/>
      <c r="BM502" s="2"/>
      <c r="BN502" s="2"/>
    </row>
    <row r="503" spans="1:66" ht="13" customHeight="1">
      <c r="B503" s="1344" t="s">
        <v>1335</v>
      </c>
      <c r="C503" s="1345"/>
      <c r="D503" s="1345"/>
      <c r="E503" s="1345"/>
      <c r="F503" s="1345"/>
      <c r="G503" s="1345"/>
      <c r="H503" s="1346"/>
      <c r="I503" s="30" t="s">
        <v>1336</v>
      </c>
      <c r="J503" s="30"/>
      <c r="K503" s="30"/>
      <c r="L503" s="30"/>
      <c r="M503" s="30"/>
      <c r="N503" s="30"/>
      <c r="O503" s="30"/>
      <c r="P503" s="30"/>
      <c r="Q503" s="30"/>
      <c r="R503" s="30"/>
      <c r="S503" s="30"/>
      <c r="T503" s="30"/>
      <c r="U503" s="30"/>
      <c r="V503" s="30"/>
      <c r="W503" s="30"/>
      <c r="AC503" s="1339" t="s">
        <v>800</v>
      </c>
      <c r="AD503" s="1340"/>
      <c r="AE503" s="1340"/>
      <c r="AF503" s="1340"/>
      <c r="AG503" s="1066" t="s">
        <v>1330</v>
      </c>
      <c r="AH503" s="1362"/>
      <c r="AI503" s="1362"/>
      <c r="AJ503" s="1362"/>
      <c r="AK503" s="1363"/>
      <c r="AZ503" s="2"/>
      <c r="BA503" s="2"/>
      <c r="BB503" s="2"/>
      <c r="BC503" s="2"/>
      <c r="BD503" s="2"/>
      <c r="BE503" s="2"/>
      <c r="BF503" s="2"/>
      <c r="BG503" s="2"/>
      <c r="BH503" s="2"/>
      <c r="BI503" s="2"/>
      <c r="BJ503" s="2"/>
      <c r="BK503" s="2"/>
      <c r="BL503" s="2"/>
      <c r="BM503" s="2"/>
      <c r="BN503" s="2"/>
    </row>
    <row r="504" spans="1:66" ht="13" customHeight="1">
      <c r="B504" s="1347"/>
      <c r="C504" s="1348"/>
      <c r="D504" s="1348"/>
      <c r="E504" s="1348"/>
      <c r="F504" s="1348"/>
      <c r="G504" s="1348"/>
      <c r="H504" s="1349"/>
      <c r="I504" t="s">
        <v>1337</v>
      </c>
      <c r="AC504" s="1339" t="s">
        <v>800</v>
      </c>
      <c r="AD504" s="1340"/>
      <c r="AE504" s="1340"/>
      <c r="AF504" s="1340"/>
      <c r="AG504" s="1066" t="s">
        <v>1330</v>
      </c>
      <c r="AH504" s="1362"/>
      <c r="AI504" s="1362"/>
      <c r="AJ504" s="1362"/>
      <c r="AK504" s="1363"/>
      <c r="AZ504" s="2"/>
      <c r="BA504" s="2"/>
      <c r="BB504" s="2"/>
      <c r="BC504" s="2"/>
      <c r="BD504" s="2"/>
      <c r="BE504" s="2"/>
      <c r="BF504" s="2"/>
      <c r="BG504" s="2"/>
      <c r="BH504" s="2"/>
      <c r="BI504" s="2"/>
      <c r="BJ504" s="2"/>
      <c r="BK504" s="2"/>
      <c r="BL504" s="2"/>
      <c r="BM504" s="2"/>
      <c r="BN504" s="2"/>
    </row>
    <row r="505" spans="1:66" ht="13" customHeight="1">
      <c r="B505" s="1347"/>
      <c r="C505" s="1348"/>
      <c r="D505" s="1348"/>
      <c r="E505" s="1348"/>
      <c r="F505" s="1348"/>
      <c r="G505" s="1348"/>
      <c r="H505" s="1349"/>
      <c r="I505" t="s">
        <v>1338</v>
      </c>
      <c r="AC505" s="1339" t="s">
        <v>800</v>
      </c>
      <c r="AD505" s="1340"/>
      <c r="AE505" s="1340"/>
      <c r="AF505" s="1340"/>
      <c r="AG505" s="1066" t="s">
        <v>1330</v>
      </c>
      <c r="AH505" s="1362"/>
      <c r="AI505" s="1362"/>
      <c r="AJ505" s="1362"/>
      <c r="AK505" s="1363"/>
      <c r="AZ505" s="2"/>
      <c r="BA505" s="2"/>
      <c r="BB505" s="2"/>
      <c r="BC505" s="2"/>
      <c r="BD505" s="2"/>
      <c r="BE505" s="2"/>
      <c r="BF505" s="2"/>
      <c r="BG505" s="2"/>
      <c r="BH505" s="2"/>
      <c r="BI505" s="2"/>
      <c r="BJ505" s="2"/>
      <c r="BK505" s="2"/>
      <c r="BL505" s="2"/>
      <c r="BM505" s="2"/>
      <c r="BN505" s="2"/>
    </row>
    <row r="506" spans="1:66" ht="13" customHeight="1">
      <c r="B506" s="1347"/>
      <c r="C506" s="1348"/>
      <c r="D506" s="1348"/>
      <c r="E506" s="1348"/>
      <c r="F506" s="1348"/>
      <c r="G506" s="1348"/>
      <c r="H506" s="1349"/>
      <c r="I506" t="s">
        <v>1339</v>
      </c>
      <c r="AC506" s="1339" t="s">
        <v>800</v>
      </c>
      <c r="AD506" s="1340"/>
      <c r="AE506" s="1340"/>
      <c r="AF506" s="1340"/>
      <c r="AG506" s="1066" t="s">
        <v>1330</v>
      </c>
      <c r="AH506" s="1362"/>
      <c r="AI506" s="1362"/>
      <c r="AJ506" s="1362"/>
      <c r="AK506" s="1363"/>
      <c r="AZ506" s="2"/>
      <c r="BA506" s="2"/>
      <c r="BB506" s="2"/>
      <c r="BC506" s="2"/>
      <c r="BD506" s="2"/>
      <c r="BE506" s="2"/>
      <c r="BF506" s="2"/>
      <c r="BG506" s="2"/>
      <c r="BH506" s="2"/>
      <c r="BI506" s="2"/>
      <c r="BJ506" s="2"/>
      <c r="BK506" s="2"/>
      <c r="BL506" s="2"/>
      <c r="BM506" s="2"/>
      <c r="BN506" s="2"/>
    </row>
    <row r="507" spans="1:66" ht="13" customHeight="1">
      <c r="B507" s="1347"/>
      <c r="C507" s="1348"/>
      <c r="D507" s="1348"/>
      <c r="E507" s="1348"/>
      <c r="F507" s="1348"/>
      <c r="G507" s="1348"/>
      <c r="H507" s="1349"/>
      <c r="I507" s="2" t="s">
        <v>1340</v>
      </c>
      <c r="AC507" s="1306" t="s">
        <v>800</v>
      </c>
      <c r="AD507" s="1307"/>
      <c r="AE507" s="1307"/>
      <c r="AF507" s="1307"/>
      <c r="AG507" s="1066" t="s">
        <v>1330</v>
      </c>
      <c r="AH507" s="1362"/>
      <c r="AI507" s="1362"/>
      <c r="AJ507" s="1362"/>
      <c r="AK507" s="1363"/>
      <c r="AZ507" s="2"/>
      <c r="BA507" s="2"/>
      <c r="BB507" s="2"/>
      <c r="BC507" s="2"/>
      <c r="BD507" s="2"/>
      <c r="BE507" s="2"/>
      <c r="BF507" s="2"/>
      <c r="BG507" s="2"/>
      <c r="BH507" s="2"/>
      <c r="BI507" s="2"/>
      <c r="BJ507" s="2"/>
      <c r="BK507" s="2"/>
      <c r="BL507" s="2"/>
      <c r="BM507" s="2"/>
      <c r="BN507" s="2"/>
    </row>
    <row r="508" spans="1:66" ht="13" customHeight="1">
      <c r="B508" s="1347"/>
      <c r="C508" s="1348"/>
      <c r="D508" s="1348"/>
      <c r="E508" s="1348"/>
      <c r="F508" s="1348"/>
      <c r="G508" s="1348"/>
      <c r="H508" s="1349"/>
      <c r="I508" s="708" t="s">
        <v>233</v>
      </c>
      <c r="J508" s="32"/>
      <c r="K508" s="32"/>
      <c r="L508" s="1357" t="s">
        <v>1341</v>
      </c>
      <c r="M508" s="1358"/>
      <c r="N508" s="1358"/>
      <c r="O508" s="1358"/>
      <c r="P508" s="1358"/>
      <c r="Q508" s="1358"/>
      <c r="R508" s="1358"/>
      <c r="S508" s="1358"/>
      <c r="T508" s="1358"/>
      <c r="U508" s="1358"/>
      <c r="V508" s="1358"/>
      <c r="W508" s="1358"/>
      <c r="X508" s="1358"/>
      <c r="Y508" s="1358"/>
      <c r="Z508" s="1358"/>
      <c r="AA508" s="1358"/>
      <c r="AB508" s="1394"/>
      <c r="AC508" s="1339">
        <v>2</v>
      </c>
      <c r="AD508" s="1340"/>
      <c r="AE508" s="1340"/>
      <c r="AF508" s="1340"/>
      <c r="AG508" s="1089" t="s">
        <v>1330</v>
      </c>
      <c r="AH508" s="1362">
        <v>2025</v>
      </c>
      <c r="AI508" s="1362"/>
      <c r="AJ508" s="1362"/>
      <c r="AK508" s="1363"/>
      <c r="AZ508" s="2"/>
      <c r="BA508" s="2"/>
      <c r="BB508" s="2"/>
      <c r="BC508" s="2"/>
      <c r="BD508" s="2"/>
      <c r="BE508" s="2"/>
      <c r="BF508" s="2"/>
      <c r="BG508" s="2"/>
      <c r="BH508" s="2"/>
      <c r="BI508" s="2"/>
      <c r="BJ508" s="2"/>
      <c r="BK508" s="2"/>
      <c r="BL508" s="2"/>
      <c r="BM508" s="2"/>
      <c r="BN508" s="2"/>
    </row>
    <row r="509" spans="1:66" ht="13" customHeight="1">
      <c r="B509" s="1096"/>
      <c r="C509" s="1072"/>
      <c r="D509" s="1072"/>
      <c r="E509" s="1072"/>
      <c r="F509" s="1072"/>
      <c r="G509" s="1072"/>
      <c r="H509" s="1073"/>
      <c r="I509" s="2" t="s">
        <v>1342</v>
      </c>
      <c r="AC509" s="1335" t="s">
        <v>695</v>
      </c>
      <c r="AD509" s="1335"/>
      <c r="AE509" s="1335"/>
      <c r="AF509" s="1335"/>
      <c r="AG509" s="1066"/>
      <c r="AH509" s="1395"/>
      <c r="AI509" s="1395"/>
      <c r="AJ509" s="1395"/>
      <c r="AK509" s="1396"/>
      <c r="AZ509" s="2"/>
      <c r="BA509" s="2"/>
      <c r="BB509" s="2"/>
      <c r="BC509" s="2"/>
      <c r="BD509" s="2"/>
      <c r="BE509" s="2"/>
      <c r="BF509" s="2"/>
      <c r="BG509" s="2"/>
      <c r="BH509" s="2"/>
      <c r="BI509" s="2"/>
      <c r="BJ509" s="2"/>
      <c r="BK509" s="2"/>
      <c r="BL509" s="2"/>
      <c r="BM509" s="2"/>
      <c r="BN509" s="2"/>
    </row>
    <row r="510" spans="1:66" ht="13" customHeight="1">
      <c r="B510" s="1096"/>
      <c r="C510" s="1072"/>
      <c r="D510" s="1072"/>
      <c r="E510" s="1072"/>
      <c r="F510" s="1072"/>
      <c r="G510" s="1072"/>
      <c r="H510" s="1073"/>
      <c r="I510" t="s">
        <v>1343</v>
      </c>
      <c r="AC510" s="1306"/>
      <c r="AD510" s="1307"/>
      <c r="AE510" s="1307"/>
      <c r="AF510" s="1308"/>
      <c r="AG510" s="1066"/>
      <c r="AH510" s="1395"/>
      <c r="AI510" s="1395"/>
      <c r="AJ510" s="1395"/>
      <c r="AK510" s="1396"/>
      <c r="AZ510" s="2"/>
      <c r="BA510" s="2"/>
      <c r="BB510" s="2"/>
      <c r="BC510" s="2"/>
      <c r="BD510" s="2"/>
      <c r="BE510" s="2"/>
      <c r="BF510" s="2"/>
      <c r="BG510" s="2"/>
      <c r="BH510" s="2"/>
      <c r="BI510" s="2"/>
      <c r="BJ510" s="2"/>
      <c r="BK510" s="2"/>
      <c r="BL510" s="2"/>
      <c r="BM510" s="2"/>
      <c r="BN510" s="2"/>
    </row>
    <row r="511" spans="1:66" ht="13" customHeight="1">
      <c r="B511" s="1096"/>
      <c r="C511" s="1072"/>
      <c r="D511" s="1072"/>
      <c r="E511" s="1072"/>
      <c r="F511" s="1072"/>
      <c r="G511" s="1072"/>
      <c r="H511" s="1073"/>
      <c r="I511" t="s">
        <v>1344</v>
      </c>
      <c r="AC511" s="1076"/>
      <c r="AD511" s="1078"/>
      <c r="AE511" s="1078"/>
      <c r="AF511" s="1077"/>
      <c r="AG511" s="1066"/>
      <c r="AH511" s="1063"/>
      <c r="AI511" s="1063"/>
      <c r="AJ511" s="1063"/>
      <c r="AK511" s="1095"/>
      <c r="AZ511" s="2"/>
      <c r="BA511" s="2"/>
      <c r="BB511" s="2"/>
      <c r="BC511" s="2"/>
      <c r="BD511" s="2"/>
      <c r="BE511" s="2"/>
      <c r="BF511" s="2"/>
      <c r="BG511" s="2"/>
      <c r="BH511" s="2"/>
      <c r="BI511" s="2"/>
      <c r="BJ511" s="2"/>
      <c r="BK511" s="2"/>
      <c r="BL511" s="2"/>
      <c r="BM511" s="2"/>
      <c r="BN511" s="2"/>
    </row>
    <row r="512" spans="1:66" ht="13" customHeight="1">
      <c r="B512" s="1096"/>
      <c r="C512" s="1072"/>
      <c r="D512" s="1072"/>
      <c r="E512" s="1072"/>
      <c r="F512" s="1072"/>
      <c r="G512" s="1072"/>
      <c r="H512" s="1073"/>
      <c r="I512" s="709" t="s">
        <v>1345</v>
      </c>
      <c r="J512" s="32"/>
      <c r="K512" s="32"/>
      <c r="L512" s="32"/>
      <c r="M512" s="32"/>
      <c r="N512" s="32"/>
      <c r="O512" s="32"/>
      <c r="P512" s="32"/>
      <c r="Q512" s="32"/>
      <c r="R512" s="32"/>
      <c r="S512" s="32"/>
      <c r="T512" s="32"/>
      <c r="U512" s="32"/>
      <c r="V512" s="32"/>
      <c r="W512" s="32"/>
      <c r="X512" s="32"/>
      <c r="Y512" s="32"/>
      <c r="Z512" s="32"/>
      <c r="AA512" s="32"/>
      <c r="AB512" s="32"/>
      <c r="AC512" s="1380"/>
      <c r="AD512" s="1381"/>
      <c r="AE512" s="1381"/>
      <c r="AF512" s="1382"/>
      <c r="AG512" s="1089"/>
      <c r="AH512" s="1524"/>
      <c r="AI512" s="1524"/>
      <c r="AJ512" s="1524"/>
      <c r="AK512" s="1525"/>
      <c r="AZ512" s="2"/>
      <c r="BA512" s="2"/>
      <c r="BB512" s="2"/>
      <c r="BC512" s="2"/>
      <c r="BD512" s="2"/>
      <c r="BE512" s="2"/>
      <c r="BF512" s="2"/>
      <c r="BG512" s="2"/>
      <c r="BH512" s="2"/>
      <c r="BI512" s="2"/>
      <c r="BJ512" s="2"/>
      <c r="BK512" s="2"/>
      <c r="BL512" s="2"/>
      <c r="BM512" s="2"/>
      <c r="BN512" s="2" t="s">
        <v>1003</v>
      </c>
    </row>
    <row r="513" spans="2:66" ht="13" customHeight="1">
      <c r="B513" s="1096"/>
      <c r="C513" s="1072"/>
      <c r="D513" s="1072"/>
      <c r="E513" s="1072"/>
      <c r="F513" s="1072"/>
      <c r="G513" s="1072"/>
      <c r="H513" s="1073"/>
      <c r="I513" s="2"/>
      <c r="L513" s="6"/>
      <c r="M513" s="6"/>
      <c r="N513" s="6"/>
      <c r="O513" s="6"/>
      <c r="P513" s="6"/>
      <c r="Q513" s="6"/>
      <c r="R513" s="6"/>
      <c r="S513" s="6"/>
      <c r="T513" s="6"/>
      <c r="U513" s="6"/>
      <c r="V513" s="6"/>
      <c r="W513" s="6"/>
      <c r="X513" s="1065"/>
      <c r="Y513" s="1065"/>
      <c r="Z513" s="1065"/>
      <c r="AA513" s="1065"/>
      <c r="AB513" s="799"/>
      <c r="AC513" s="1600" t="s">
        <v>1329</v>
      </c>
      <c r="AD513" s="1588"/>
      <c r="AE513" s="1588"/>
      <c r="AF513" s="1588"/>
      <c r="AG513" s="1089" t="s">
        <v>1330</v>
      </c>
      <c r="AH513" s="1588" t="s">
        <v>1331</v>
      </c>
      <c r="AI513" s="1588"/>
      <c r="AJ513" s="1588"/>
      <c r="AK513" s="1599"/>
      <c r="AZ513" s="2"/>
      <c r="BA513" s="2"/>
      <c r="BB513" s="2"/>
      <c r="BC513" s="2"/>
      <c r="BD513" s="2"/>
      <c r="BE513" s="2"/>
      <c r="BF513" s="2"/>
      <c r="BG513" s="2"/>
      <c r="BH513" s="2"/>
      <c r="BI513" s="2"/>
      <c r="BJ513" s="2"/>
      <c r="BK513" s="2"/>
      <c r="BL513" s="2"/>
      <c r="BM513" s="2"/>
      <c r="BN513" s="2" t="s">
        <v>1346</v>
      </c>
    </row>
    <row r="514" spans="2:66" ht="13" customHeight="1">
      <c r="B514" s="1344" t="s">
        <v>1347</v>
      </c>
      <c r="C514" s="1345"/>
      <c r="D514" s="1345"/>
      <c r="E514" s="1345"/>
      <c r="F514" s="1345"/>
      <c r="G514" s="1345"/>
      <c r="H514" s="1346"/>
      <c r="I514" s="30" t="s">
        <v>1348</v>
      </c>
      <c r="J514" s="30"/>
      <c r="K514" s="30"/>
      <c r="L514" s="30"/>
      <c r="M514" s="30"/>
      <c r="N514" s="30"/>
      <c r="O514" s="30"/>
      <c r="P514" s="30"/>
      <c r="Q514" s="30"/>
      <c r="R514" s="30"/>
      <c r="S514" s="30"/>
      <c r="T514" s="30"/>
      <c r="U514" s="30"/>
      <c r="V514" s="30"/>
      <c r="W514" s="30"/>
      <c r="AC514" s="1339">
        <v>1</v>
      </c>
      <c r="AD514" s="1340"/>
      <c r="AE514" s="1340"/>
      <c r="AF514" s="1340"/>
      <c r="AG514" s="1066" t="s">
        <v>1330</v>
      </c>
      <c r="AH514" s="1362">
        <v>2025</v>
      </c>
      <c r="AI514" s="1362"/>
      <c r="AJ514" s="1362"/>
      <c r="AK514" s="1363"/>
      <c r="AZ514" s="2"/>
      <c r="BA514" s="2"/>
      <c r="BB514" s="2"/>
      <c r="BC514" s="2"/>
      <c r="BD514" s="2"/>
      <c r="BE514" s="2"/>
      <c r="BF514" s="2"/>
      <c r="BG514" s="2"/>
      <c r="BH514" s="2"/>
      <c r="BI514" s="2"/>
      <c r="BJ514" s="2"/>
      <c r="BK514" s="2"/>
      <c r="BL514" s="2"/>
      <c r="BM514" s="2"/>
      <c r="BN514" s="2" t="s">
        <v>1349</v>
      </c>
    </row>
    <row r="515" spans="2:66" ht="13" customHeight="1">
      <c r="B515" s="1347"/>
      <c r="C515" s="1348"/>
      <c r="D515" s="1348"/>
      <c r="E515" s="1348"/>
      <c r="F515" s="1348"/>
      <c r="G515" s="1348"/>
      <c r="H515" s="1349"/>
      <c r="I515" t="s">
        <v>1350</v>
      </c>
      <c r="AC515" s="1339">
        <v>1</v>
      </c>
      <c r="AD515" s="1340"/>
      <c r="AE515" s="1340"/>
      <c r="AF515" s="1340"/>
      <c r="AG515" s="1066" t="s">
        <v>1330</v>
      </c>
      <c r="AH515" s="1362">
        <v>2025</v>
      </c>
      <c r="AI515" s="1362"/>
      <c r="AJ515" s="1362"/>
      <c r="AK515" s="1363"/>
      <c r="AZ515" s="2"/>
      <c r="BA515" s="2"/>
      <c r="BB515" s="2"/>
      <c r="BC515" s="2"/>
      <c r="BD515" s="2"/>
      <c r="BE515" s="2"/>
      <c r="BF515" s="2"/>
      <c r="BG515" s="2"/>
      <c r="BH515" s="2"/>
      <c r="BI515" s="2"/>
      <c r="BJ515" s="2"/>
      <c r="BK515" s="2"/>
      <c r="BL515" s="2"/>
      <c r="BM515" s="2"/>
      <c r="BN515" s="2" t="s">
        <v>1351</v>
      </c>
    </row>
    <row r="516" spans="2:66" ht="13" customHeight="1">
      <c r="B516" s="1347"/>
      <c r="C516" s="1348"/>
      <c r="D516" s="1348"/>
      <c r="E516" s="1348"/>
      <c r="F516" s="1348"/>
      <c r="G516" s="1348"/>
      <c r="H516" s="1349"/>
      <c r="I516" s="32" t="s">
        <v>1352</v>
      </c>
      <c r="J516" s="32"/>
      <c r="K516" s="32"/>
      <c r="L516" s="32"/>
      <c r="M516" s="32"/>
      <c r="N516" s="32"/>
      <c r="O516" s="32"/>
      <c r="P516" s="32"/>
      <c r="Q516" s="32"/>
      <c r="R516" s="32"/>
      <c r="S516" s="32"/>
      <c r="T516" s="32"/>
      <c r="U516" s="32"/>
      <c r="V516" s="32"/>
      <c r="W516" s="32"/>
      <c r="X516" s="32"/>
      <c r="Y516" s="32"/>
      <c r="Z516" s="32"/>
      <c r="AA516" s="32"/>
      <c r="AB516" s="32"/>
      <c r="AC516" s="1339">
        <v>10</v>
      </c>
      <c r="AD516" s="1340"/>
      <c r="AE516" s="1340"/>
      <c r="AF516" s="1340"/>
      <c r="AG516" s="1089" t="s">
        <v>1330</v>
      </c>
      <c r="AH516" s="1362">
        <v>2025</v>
      </c>
      <c r="AI516" s="1362"/>
      <c r="AJ516" s="1362"/>
      <c r="AK516" s="1363"/>
      <c r="AZ516" s="2"/>
      <c r="BA516" s="2"/>
      <c r="BB516" s="2"/>
      <c r="BC516" s="2"/>
      <c r="BD516" s="2"/>
      <c r="BE516" s="2"/>
      <c r="BF516" s="2"/>
      <c r="BG516" s="2"/>
      <c r="BH516" s="2"/>
      <c r="BI516" s="2"/>
      <c r="BJ516" s="2"/>
      <c r="BK516" s="2"/>
      <c r="BL516" s="2"/>
      <c r="BM516" s="2"/>
      <c r="BN516" s="2" t="s">
        <v>1353</v>
      </c>
    </row>
    <row r="517" spans="2:66" ht="13" customHeight="1">
      <c r="B517" s="1344" t="s">
        <v>1354</v>
      </c>
      <c r="C517" s="1345"/>
      <c r="D517" s="1345"/>
      <c r="E517" s="1345"/>
      <c r="F517" s="1345"/>
      <c r="G517" s="1345"/>
      <c r="H517" s="1346"/>
      <c r="I517" s="30" t="s">
        <v>1348</v>
      </c>
      <c r="J517" s="30"/>
      <c r="K517" s="30"/>
      <c r="L517" s="30"/>
      <c r="M517" s="30"/>
      <c r="N517" s="30"/>
      <c r="O517" s="30"/>
      <c r="P517" s="30"/>
      <c r="Q517" s="30"/>
      <c r="R517" s="30"/>
      <c r="S517" s="30"/>
      <c r="T517" s="30"/>
      <c r="U517" s="30"/>
      <c r="V517" s="30"/>
      <c r="W517" s="30"/>
      <c r="X517" s="30"/>
      <c r="Y517" s="30"/>
      <c r="Z517" s="30"/>
      <c r="AA517" s="30"/>
      <c r="AB517" s="30"/>
      <c r="AC517" s="1306">
        <v>1</v>
      </c>
      <c r="AD517" s="1307"/>
      <c r="AE517" s="1307"/>
      <c r="AF517" s="1307"/>
      <c r="AG517" s="1094" t="s">
        <v>1330</v>
      </c>
      <c r="AH517" s="1362">
        <v>2025</v>
      </c>
      <c r="AI517" s="1362"/>
      <c r="AJ517" s="1362"/>
      <c r="AK517" s="1363"/>
      <c r="AZ517" s="2"/>
      <c r="BB517" s="2"/>
      <c r="BC517" s="2"/>
      <c r="BD517" s="2"/>
      <c r="BE517" s="2"/>
      <c r="BF517" s="2"/>
      <c r="BG517" s="2"/>
      <c r="BH517" s="2"/>
      <c r="BI517" s="2"/>
      <c r="BJ517" s="2"/>
      <c r="BK517" s="2"/>
      <c r="BL517" s="2"/>
      <c r="BM517" s="2"/>
      <c r="BN517" s="2" t="s">
        <v>1355</v>
      </c>
    </row>
    <row r="518" spans="2:66" ht="13" customHeight="1">
      <c r="B518" s="1347"/>
      <c r="C518" s="1348"/>
      <c r="D518" s="1348"/>
      <c r="E518" s="1348"/>
      <c r="F518" s="1348"/>
      <c r="G518" s="1348"/>
      <c r="H518" s="1349"/>
      <c r="I518" t="s">
        <v>1350</v>
      </c>
      <c r="AC518" s="1339">
        <v>1</v>
      </c>
      <c r="AD518" s="1340"/>
      <c r="AE518" s="1340"/>
      <c r="AF518" s="1340"/>
      <c r="AG518" s="1066" t="s">
        <v>1330</v>
      </c>
      <c r="AH518" s="1362">
        <v>2025</v>
      </c>
      <c r="AI518" s="1362"/>
      <c r="AJ518" s="1362"/>
      <c r="AK518" s="1363"/>
      <c r="BB518" s="2"/>
      <c r="BC518" s="2"/>
      <c r="BD518" s="2"/>
      <c r="BE518" s="2"/>
      <c r="BF518" s="2"/>
      <c r="BG518" s="2"/>
      <c r="BH518" s="2"/>
      <c r="BI518" s="2"/>
      <c r="BJ518" s="2"/>
      <c r="BK518" s="2"/>
      <c r="BL518" s="2"/>
      <c r="BM518" s="2"/>
      <c r="BN518" s="2" t="s">
        <v>1356</v>
      </c>
    </row>
    <row r="519" spans="2:66" ht="13" customHeight="1">
      <c r="B519" s="1350"/>
      <c r="C519" s="1351"/>
      <c r="D519" s="1351"/>
      <c r="E519" s="1351"/>
      <c r="F519" s="1351"/>
      <c r="G519" s="1351"/>
      <c r="H519" s="1352"/>
      <c r="I519" s="32" t="s">
        <v>1352</v>
      </c>
      <c r="J519" s="32"/>
      <c r="K519" s="32"/>
      <c r="L519" s="32"/>
      <c r="M519" s="32"/>
      <c r="N519" s="32"/>
      <c r="O519" s="32"/>
      <c r="P519" s="32"/>
      <c r="Q519" s="32"/>
      <c r="R519" s="32"/>
      <c r="S519" s="32"/>
      <c r="T519" s="32"/>
      <c r="U519" s="32"/>
      <c r="V519" s="32"/>
      <c r="W519" s="32"/>
      <c r="X519" s="32"/>
      <c r="Y519" s="32"/>
      <c r="Z519" s="32"/>
      <c r="AA519" s="32"/>
      <c r="AB519" s="32"/>
      <c r="AC519" s="1339">
        <v>6</v>
      </c>
      <c r="AD519" s="1340"/>
      <c r="AE519" s="1340"/>
      <c r="AF519" s="1340"/>
      <c r="AG519" s="1089" t="s">
        <v>1330</v>
      </c>
      <c r="AH519" s="1362">
        <v>2027</v>
      </c>
      <c r="AI519" s="1362"/>
      <c r="AJ519" s="1362"/>
      <c r="AK519" s="1363"/>
      <c r="BB519" s="2"/>
      <c r="BC519" s="2"/>
      <c r="BD519" s="2"/>
      <c r="BE519" s="2"/>
      <c r="BF519" s="2"/>
      <c r="BG519" s="2"/>
      <c r="BH519" s="2"/>
      <c r="BI519" s="2"/>
      <c r="BJ519" s="2"/>
      <c r="BK519" s="2"/>
      <c r="BL519" s="2"/>
      <c r="BM519" s="2"/>
      <c r="BN519" s="2" t="s">
        <v>1357</v>
      </c>
    </row>
    <row r="520" spans="2:66" ht="13" customHeight="1">
      <c r="B520" s="1344" t="s">
        <v>1358</v>
      </c>
      <c r="C520" s="1345"/>
      <c r="D520" s="1345"/>
      <c r="E520" s="1345"/>
      <c r="F520" s="1345"/>
      <c r="G520" s="1345"/>
      <c r="H520" s="1346"/>
      <c r="I520" s="29" t="s">
        <v>1359</v>
      </c>
      <c r="J520" s="30"/>
      <c r="K520" s="30"/>
      <c r="L520" s="30"/>
      <c r="M520" s="30"/>
      <c r="N520" s="30"/>
      <c r="O520" s="1357" t="s">
        <v>1360</v>
      </c>
      <c r="P520" s="1358"/>
      <c r="Q520" s="1358"/>
      <c r="R520" s="1358"/>
      <c r="S520" s="1358"/>
      <c r="T520" s="1358"/>
      <c r="U520" s="1358"/>
      <c r="V520" s="1358"/>
      <c r="W520" s="1358"/>
      <c r="X520" s="1358"/>
      <c r="Y520" s="1358"/>
      <c r="Z520" s="1358"/>
      <c r="AA520" s="1358"/>
      <c r="AB520" s="39"/>
      <c r="AC520" s="1306" t="s">
        <v>800</v>
      </c>
      <c r="AD520" s="1307"/>
      <c r="AE520" s="1307"/>
      <c r="AF520" s="1307"/>
      <c r="AG520" s="1094" t="s">
        <v>1330</v>
      </c>
      <c r="AH520" s="1362"/>
      <c r="AI520" s="1362"/>
      <c r="AJ520" s="1362"/>
      <c r="AK520" s="1363"/>
      <c r="AZ520" s="2"/>
      <c r="BB520" s="2"/>
      <c r="BC520" s="2"/>
      <c r="BD520" s="2"/>
      <c r="BE520" s="2"/>
      <c r="BF520" s="2"/>
      <c r="BG520" s="2"/>
      <c r="BH520" s="2"/>
      <c r="BI520" s="2"/>
      <c r="BJ520" s="2"/>
      <c r="BK520" s="2"/>
      <c r="BL520" s="2"/>
      <c r="BM520" s="2"/>
      <c r="BN520" s="2" t="s">
        <v>1361</v>
      </c>
    </row>
    <row r="521" spans="2:66" ht="13" customHeight="1">
      <c r="B521" s="1347"/>
      <c r="C521" s="1348"/>
      <c r="D521" s="1348"/>
      <c r="E521" s="1348"/>
      <c r="F521" s="1348"/>
      <c r="G521" s="1348"/>
      <c r="H521" s="1349"/>
      <c r="I521" s="66" t="s">
        <v>44</v>
      </c>
      <c r="AB521" s="42"/>
      <c r="AC521" s="1339">
        <v>10</v>
      </c>
      <c r="AD521" s="1340"/>
      <c r="AE521" s="1340"/>
      <c r="AF521" s="1340"/>
      <c r="AG521" s="1066" t="s">
        <v>1330</v>
      </c>
      <c r="AH521" s="1362">
        <v>2023</v>
      </c>
      <c r="AI521" s="1362"/>
      <c r="AJ521" s="1362"/>
      <c r="AK521" s="1363"/>
      <c r="AZ521" s="2"/>
      <c r="BB521" s="2"/>
      <c r="BC521" s="2"/>
      <c r="BD521" s="2"/>
      <c r="BE521" s="2"/>
      <c r="BF521" s="2"/>
      <c r="BG521" s="2"/>
      <c r="BH521" s="2"/>
      <c r="BI521" s="2"/>
      <c r="BJ521" s="2"/>
      <c r="BK521" s="2"/>
      <c r="BL521" s="2"/>
      <c r="BM521" s="2"/>
      <c r="BN521" s="2" t="s">
        <v>1362</v>
      </c>
    </row>
    <row r="522" spans="2:66" ht="13" customHeight="1">
      <c r="B522" s="1347"/>
      <c r="C522" s="1348"/>
      <c r="D522" s="1348"/>
      <c r="E522" s="1348"/>
      <c r="F522" s="1348"/>
      <c r="G522" s="1348"/>
      <c r="H522" s="1349"/>
      <c r="I522" s="31" t="s">
        <v>1363</v>
      </c>
      <c r="J522" s="32"/>
      <c r="K522" s="32"/>
      <c r="L522" s="32"/>
      <c r="M522" s="32"/>
      <c r="N522" s="32"/>
      <c r="O522" s="32"/>
      <c r="P522" s="32"/>
      <c r="Q522" s="32"/>
      <c r="R522" s="32"/>
      <c r="S522" s="32"/>
      <c r="T522" s="32"/>
      <c r="U522" s="32"/>
      <c r="V522" s="32"/>
      <c r="W522" s="32"/>
      <c r="X522" s="32"/>
      <c r="Y522" s="32"/>
      <c r="Z522" s="32"/>
      <c r="AA522" s="32"/>
      <c r="AB522" s="33"/>
      <c r="AC522" s="1339">
        <v>4</v>
      </c>
      <c r="AD522" s="1340"/>
      <c r="AE522" s="1340"/>
      <c r="AF522" s="1340"/>
      <c r="AG522" s="1089" t="s">
        <v>1330</v>
      </c>
      <c r="AH522" s="1362">
        <v>2024</v>
      </c>
      <c r="AI522" s="1362"/>
      <c r="AJ522" s="1362"/>
      <c r="AK522" s="1363"/>
      <c r="AZ522" s="2"/>
      <c r="BA522" s="2"/>
      <c r="BB522" s="2"/>
      <c r="BC522" s="2"/>
      <c r="BD522" s="2"/>
      <c r="BE522" s="2"/>
      <c r="BF522" s="2"/>
      <c r="BG522" s="2"/>
      <c r="BH522" s="2"/>
      <c r="BI522" s="2"/>
      <c r="BJ522" s="2"/>
      <c r="BK522" s="2"/>
      <c r="BL522" s="2"/>
      <c r="BM522" s="2"/>
      <c r="BN522" s="2" t="s">
        <v>1364</v>
      </c>
    </row>
    <row r="523" spans="2:66" ht="13" customHeight="1">
      <c r="B523" s="1347"/>
      <c r="C523" s="1348"/>
      <c r="D523" s="1348"/>
      <c r="E523" s="1348"/>
      <c r="F523" s="1348"/>
      <c r="G523" s="1348"/>
      <c r="H523" s="1349"/>
      <c r="I523" s="30" t="s">
        <v>1365</v>
      </c>
      <c r="J523" s="30"/>
      <c r="K523" s="30"/>
      <c r="L523" s="30"/>
      <c r="M523" s="30"/>
      <c r="N523" s="30"/>
      <c r="O523" s="1357" t="s">
        <v>1366</v>
      </c>
      <c r="P523" s="1358"/>
      <c r="Q523" s="1358"/>
      <c r="R523" s="1358"/>
      <c r="S523" s="1358"/>
      <c r="T523" s="1358"/>
      <c r="U523" s="1358"/>
      <c r="V523" s="1358"/>
      <c r="W523" s="1358"/>
      <c r="X523" s="1358"/>
      <c r="Y523" s="1358"/>
      <c r="Z523" s="1358"/>
      <c r="AA523" s="1358"/>
      <c r="AC523" s="1339" t="s">
        <v>800</v>
      </c>
      <c r="AD523" s="1340"/>
      <c r="AE523" s="1340"/>
      <c r="AF523" s="1340"/>
      <c r="AG523" s="1066" t="s">
        <v>1330</v>
      </c>
      <c r="AH523" s="1362"/>
      <c r="AI523" s="1362"/>
      <c r="AJ523" s="1362"/>
      <c r="AK523" s="1363"/>
      <c r="AZ523" s="2"/>
      <c r="BA523" s="2"/>
      <c r="BB523" s="2"/>
      <c r="BC523" s="2"/>
      <c r="BD523" s="2"/>
      <c r="BE523" s="2"/>
      <c r="BF523" s="2"/>
      <c r="BG523" s="2"/>
      <c r="BH523" s="2"/>
      <c r="BI523" s="2"/>
      <c r="BJ523" s="2"/>
      <c r="BK523" s="2"/>
      <c r="BL523" s="2"/>
      <c r="BM523" s="2"/>
      <c r="BN523" s="2" t="s">
        <v>1367</v>
      </c>
    </row>
    <row r="524" spans="2:66" ht="13" customHeight="1">
      <c r="B524" s="1347"/>
      <c r="C524" s="1348"/>
      <c r="D524" s="1348"/>
      <c r="E524" s="1348"/>
      <c r="F524" s="1348"/>
      <c r="G524" s="1348"/>
      <c r="H524" s="1349"/>
      <c r="I524" t="s">
        <v>44</v>
      </c>
      <c r="AC524" s="1339">
        <v>8</v>
      </c>
      <c r="AD524" s="1340"/>
      <c r="AE524" s="1340"/>
      <c r="AF524" s="1340"/>
      <c r="AG524" s="1066" t="s">
        <v>1330</v>
      </c>
      <c r="AH524" s="1362">
        <v>2022</v>
      </c>
      <c r="AI524" s="1362"/>
      <c r="AJ524" s="1362"/>
      <c r="AK524" s="1363"/>
      <c r="AZ524" s="2"/>
      <c r="BA524" s="2"/>
      <c r="BB524" s="2"/>
      <c r="BC524" s="2"/>
      <c r="BD524" s="2"/>
      <c r="BE524" s="2"/>
      <c r="BF524" s="2"/>
      <c r="BG524" s="2"/>
      <c r="BH524" s="2"/>
      <c r="BI524" s="2"/>
      <c r="BJ524" s="2"/>
      <c r="BK524" s="2"/>
      <c r="BL524" s="2"/>
      <c r="BM524" s="2"/>
      <c r="BN524" s="2" t="s">
        <v>1368</v>
      </c>
    </row>
    <row r="525" spans="2:66" ht="13" customHeight="1">
      <c r="B525" s="1347"/>
      <c r="C525" s="1348"/>
      <c r="D525" s="1348"/>
      <c r="E525" s="1348"/>
      <c r="F525" s="1348"/>
      <c r="G525" s="1348"/>
      <c r="H525" s="1349"/>
      <c r="I525" s="32" t="s">
        <v>1363</v>
      </c>
      <c r="J525" s="32"/>
      <c r="K525" s="32"/>
      <c r="L525" s="32"/>
      <c r="M525" s="32"/>
      <c r="N525" s="32"/>
      <c r="O525" s="32"/>
      <c r="P525" s="32"/>
      <c r="Q525" s="32"/>
      <c r="R525" s="32"/>
      <c r="S525" s="32"/>
      <c r="T525" s="32"/>
      <c r="U525" s="32"/>
      <c r="V525" s="32"/>
      <c r="W525" s="32"/>
      <c r="X525" s="32"/>
      <c r="Y525" s="32"/>
      <c r="Z525" s="32"/>
      <c r="AA525" s="32"/>
      <c r="AB525" s="32"/>
      <c r="AC525" s="1339">
        <v>12</v>
      </c>
      <c r="AD525" s="1340"/>
      <c r="AE525" s="1340"/>
      <c r="AF525" s="1340"/>
      <c r="AG525" s="1089" t="s">
        <v>1330</v>
      </c>
      <c r="AH525" s="1362">
        <v>2023</v>
      </c>
      <c r="AI525" s="1362"/>
      <c r="AJ525" s="1362"/>
      <c r="AK525" s="1363"/>
      <c r="AZ525" s="2"/>
      <c r="BA525" s="2"/>
      <c r="BB525" s="2"/>
      <c r="BC525" s="2"/>
      <c r="BD525" s="2"/>
      <c r="BE525" s="2"/>
      <c r="BF525" s="2"/>
      <c r="BG525" s="2"/>
      <c r="BH525" s="2"/>
      <c r="BI525" s="2"/>
      <c r="BJ525" s="2"/>
      <c r="BK525" s="2"/>
      <c r="BL525" s="2"/>
      <c r="BM525" s="2"/>
      <c r="BN525" s="2" t="s">
        <v>1369</v>
      </c>
    </row>
    <row r="526" spans="2:66" ht="13" customHeight="1">
      <c r="B526" s="1347"/>
      <c r="C526" s="1348"/>
      <c r="D526" s="1348"/>
      <c r="E526" s="1348"/>
      <c r="F526" s="1348"/>
      <c r="G526" s="1348"/>
      <c r="H526" s="1349"/>
      <c r="I526" s="30" t="s">
        <v>1365</v>
      </c>
      <c r="J526" s="30"/>
      <c r="K526" s="30"/>
      <c r="L526" s="30"/>
      <c r="M526" s="30"/>
      <c r="N526" s="30"/>
      <c r="O526" s="1357" t="s">
        <v>1370</v>
      </c>
      <c r="P526" s="1358"/>
      <c r="Q526" s="1358"/>
      <c r="R526" s="1358"/>
      <c r="S526" s="1358"/>
      <c r="T526" s="1358"/>
      <c r="U526" s="1358"/>
      <c r="V526" s="1358"/>
      <c r="W526" s="1358"/>
      <c r="X526" s="1358"/>
      <c r="Y526" s="1358"/>
      <c r="Z526" s="1358"/>
      <c r="AA526" s="1358"/>
      <c r="AC526" s="1339" t="s">
        <v>800</v>
      </c>
      <c r="AD526" s="1340"/>
      <c r="AE526" s="1340"/>
      <c r="AF526" s="1340"/>
      <c r="AG526" s="1066" t="s">
        <v>1330</v>
      </c>
      <c r="AH526" s="1362"/>
      <c r="AI526" s="1362"/>
      <c r="AJ526" s="1362"/>
      <c r="AK526" s="1363"/>
      <c r="AZ526" s="2"/>
      <c r="BA526" s="2"/>
      <c r="BB526" s="2"/>
      <c r="BC526" s="2"/>
      <c r="BD526" s="2"/>
      <c r="BE526" s="2"/>
      <c r="BF526" s="2"/>
      <c r="BG526" s="2"/>
      <c r="BH526" s="2"/>
      <c r="BI526" s="2"/>
      <c r="BJ526" s="2"/>
      <c r="BK526" s="2"/>
      <c r="BL526" s="2"/>
      <c r="BM526" s="2"/>
      <c r="BN526" s="2" t="s">
        <v>1371</v>
      </c>
    </row>
    <row r="527" spans="2:66" ht="13" customHeight="1">
      <c r="B527" s="1347"/>
      <c r="C527" s="1348"/>
      <c r="D527" s="1348"/>
      <c r="E527" s="1348"/>
      <c r="F527" s="1348"/>
      <c r="G527" s="1348"/>
      <c r="H527" s="1349"/>
      <c r="I527" t="s">
        <v>44</v>
      </c>
      <c r="AC527" s="1339">
        <v>3</v>
      </c>
      <c r="AD527" s="1340"/>
      <c r="AE527" s="1340"/>
      <c r="AF527" s="1340"/>
      <c r="AG527" s="1066" t="s">
        <v>1330</v>
      </c>
      <c r="AH527" s="1362">
        <v>2025</v>
      </c>
      <c r="AI527" s="1362"/>
      <c r="AJ527" s="1362"/>
      <c r="AK527" s="1363"/>
      <c r="AZ527" s="2"/>
      <c r="BA527" s="2"/>
      <c r="BB527" s="2"/>
      <c r="BC527" s="2"/>
      <c r="BD527" s="2"/>
      <c r="BE527" s="2"/>
      <c r="BF527" s="2"/>
      <c r="BG527" s="2"/>
      <c r="BH527" s="2"/>
      <c r="BI527" s="2"/>
      <c r="BJ527" s="2"/>
      <c r="BK527" s="2"/>
      <c r="BL527" s="2"/>
      <c r="BM527" s="2"/>
      <c r="BN527" s="2" t="s">
        <v>1372</v>
      </c>
    </row>
    <row r="528" spans="2:66" ht="13" customHeight="1">
      <c r="B528" s="1347"/>
      <c r="C528" s="1348"/>
      <c r="D528" s="1348"/>
      <c r="E528" s="1348"/>
      <c r="F528" s="1348"/>
      <c r="G528" s="1348"/>
      <c r="H528" s="1349"/>
      <c r="I528" s="32" t="s">
        <v>1363</v>
      </c>
      <c r="J528" s="32"/>
      <c r="K528" s="32"/>
      <c r="L528" s="32"/>
      <c r="M528" s="32"/>
      <c r="N528" s="32"/>
      <c r="O528" s="32"/>
      <c r="P528" s="32"/>
      <c r="Q528" s="32"/>
      <c r="R528" s="32"/>
      <c r="S528" s="32"/>
      <c r="T528" s="32"/>
      <c r="U528" s="32"/>
      <c r="V528" s="32"/>
      <c r="W528" s="32"/>
      <c r="X528" s="32"/>
      <c r="Y528" s="32"/>
      <c r="Z528" s="32"/>
      <c r="AA528" s="32"/>
      <c r="AB528" s="32"/>
      <c r="AC528" s="1339">
        <v>6</v>
      </c>
      <c r="AD528" s="1340"/>
      <c r="AE528" s="1340"/>
      <c r="AF528" s="1340"/>
      <c r="AG528" s="1089" t="s">
        <v>1330</v>
      </c>
      <c r="AH528" s="1362">
        <v>2025</v>
      </c>
      <c r="AI528" s="1362"/>
      <c r="AJ528" s="1362"/>
      <c r="AK528" s="1363"/>
      <c r="AZ528" s="2"/>
      <c r="BA528" s="2"/>
      <c r="BB528" s="2"/>
      <c r="BC528" s="2"/>
      <c r="BD528" s="2"/>
      <c r="BE528" s="2"/>
      <c r="BF528" s="2"/>
      <c r="BG528" s="2"/>
      <c r="BH528" s="2"/>
      <c r="BI528" s="2"/>
      <c r="BJ528" s="2"/>
      <c r="BK528" s="2"/>
      <c r="BL528" s="2"/>
      <c r="BM528" s="2"/>
      <c r="BN528" s="2" t="s">
        <v>1373</v>
      </c>
    </row>
    <row r="529" spans="1:66" ht="13" customHeight="1">
      <c r="B529" s="1347"/>
      <c r="C529" s="1348"/>
      <c r="D529" s="1348"/>
      <c r="E529" s="1348"/>
      <c r="F529" s="1348"/>
      <c r="G529" s="1348"/>
      <c r="H529" s="1349"/>
      <c r="I529" s="30" t="s">
        <v>1365</v>
      </c>
      <c r="J529" s="30"/>
      <c r="K529" s="30"/>
      <c r="L529" s="30"/>
      <c r="M529" s="30"/>
      <c r="N529" s="30"/>
      <c r="O529" s="1357" t="s">
        <v>1374</v>
      </c>
      <c r="P529" s="1358"/>
      <c r="Q529" s="1358"/>
      <c r="R529" s="1358"/>
      <c r="S529" s="1358"/>
      <c r="T529" s="1358"/>
      <c r="U529" s="1358"/>
      <c r="V529" s="1358"/>
      <c r="W529" s="1358"/>
      <c r="X529" s="1358"/>
      <c r="Y529" s="1358"/>
      <c r="Z529" s="1358"/>
      <c r="AA529" s="1358"/>
      <c r="AC529" s="1339" t="s">
        <v>800</v>
      </c>
      <c r="AD529" s="1340"/>
      <c r="AE529" s="1340"/>
      <c r="AF529" s="1340"/>
      <c r="AG529" s="1066" t="s">
        <v>1330</v>
      </c>
      <c r="AH529" s="1362"/>
      <c r="AI529" s="1362"/>
      <c r="AJ529" s="1362"/>
      <c r="AK529" s="1363"/>
      <c r="AZ529" s="2"/>
      <c r="BA529" s="2"/>
      <c r="BB529" s="2"/>
      <c r="BC529" s="2"/>
      <c r="BD529" s="2"/>
      <c r="BE529" s="2"/>
      <c r="BF529" s="2"/>
      <c r="BG529" s="2"/>
      <c r="BH529" s="2"/>
      <c r="BI529" s="2"/>
      <c r="BJ529" s="2"/>
      <c r="BK529" s="2"/>
      <c r="BL529" s="2"/>
      <c r="BM529" s="2"/>
      <c r="BN529" s="2" t="s">
        <v>1375</v>
      </c>
    </row>
    <row r="530" spans="1:66" ht="13" customHeight="1">
      <c r="B530" s="1347"/>
      <c r="C530" s="1348"/>
      <c r="D530" s="1348"/>
      <c r="E530" s="1348"/>
      <c r="F530" s="1348"/>
      <c r="G530" s="1348"/>
      <c r="H530" s="1349"/>
      <c r="I530" t="s">
        <v>44</v>
      </c>
      <c r="AC530" s="1339">
        <v>3</v>
      </c>
      <c r="AD530" s="1340"/>
      <c r="AE530" s="1340"/>
      <c r="AF530" s="1340"/>
      <c r="AG530" s="1066" t="s">
        <v>1330</v>
      </c>
      <c r="AH530" s="1362">
        <v>2025</v>
      </c>
      <c r="AI530" s="1362"/>
      <c r="AJ530" s="1362"/>
      <c r="AK530" s="1363"/>
      <c r="AZ530" s="2"/>
      <c r="BA530" s="2"/>
      <c r="BB530" s="2"/>
      <c r="BC530" s="2"/>
      <c r="BD530" s="2"/>
      <c r="BE530" s="2"/>
      <c r="BF530" s="2"/>
      <c r="BG530" s="2"/>
      <c r="BH530" s="2"/>
      <c r="BI530" s="2"/>
      <c r="BJ530" s="2"/>
      <c r="BK530" s="2"/>
      <c r="BL530" s="2"/>
      <c r="BM530" s="2"/>
      <c r="BN530" s="2" t="s">
        <v>1376</v>
      </c>
    </row>
    <row r="531" spans="1:66" ht="13" customHeight="1">
      <c r="B531" s="1347"/>
      <c r="C531" s="1348"/>
      <c r="D531" s="1348"/>
      <c r="E531" s="1348"/>
      <c r="F531" s="1348"/>
      <c r="G531" s="1348"/>
      <c r="H531" s="1349"/>
      <c r="I531" s="32" t="s">
        <v>1363</v>
      </c>
      <c r="J531" s="32"/>
      <c r="K531" s="32"/>
      <c r="L531" s="32"/>
      <c r="M531" s="32"/>
      <c r="N531" s="32"/>
      <c r="O531" s="32"/>
      <c r="P531" s="32"/>
      <c r="Q531" s="32"/>
      <c r="R531" s="32"/>
      <c r="S531" s="32"/>
      <c r="T531" s="32"/>
      <c r="U531" s="32"/>
      <c r="V531" s="32"/>
      <c r="W531" s="32"/>
      <c r="X531" s="32"/>
      <c r="Y531" s="32"/>
      <c r="Z531" s="32"/>
      <c r="AA531" s="32"/>
      <c r="AB531" s="32"/>
      <c r="AC531" s="1339">
        <v>7</v>
      </c>
      <c r="AD531" s="1340"/>
      <c r="AE531" s="1340"/>
      <c r="AF531" s="1340"/>
      <c r="AG531" s="1089" t="s">
        <v>1330</v>
      </c>
      <c r="AH531" s="1362">
        <v>2025</v>
      </c>
      <c r="AI531" s="1362"/>
      <c r="AJ531" s="1362"/>
      <c r="AK531" s="1363"/>
      <c r="AZ531" s="2"/>
      <c r="BA531" s="2"/>
      <c r="BB531" s="2"/>
      <c r="BC531" s="2"/>
      <c r="BD531" s="2"/>
      <c r="BE531" s="2"/>
      <c r="BF531" s="2"/>
      <c r="BG531" s="2"/>
      <c r="BH531" s="2"/>
      <c r="BI531" s="2"/>
      <c r="BJ531" s="2"/>
      <c r="BK531" s="2"/>
      <c r="BL531" s="2"/>
      <c r="BM531" s="2"/>
      <c r="BN531" s="2" t="s">
        <v>1377</v>
      </c>
    </row>
    <row r="532" spans="1:66" ht="13" customHeight="1">
      <c r="B532" s="1347"/>
      <c r="C532" s="1348"/>
      <c r="D532" s="1348"/>
      <c r="E532" s="1348"/>
      <c r="F532" s="1348"/>
      <c r="G532" s="1348"/>
      <c r="H532" s="1349"/>
      <c r="I532" s="30" t="s">
        <v>1365</v>
      </c>
      <c r="J532" s="30"/>
      <c r="K532" s="30"/>
      <c r="L532" s="30"/>
      <c r="M532" s="30"/>
      <c r="N532" s="30"/>
      <c r="O532" s="1357" t="s">
        <v>1378</v>
      </c>
      <c r="P532" s="1358"/>
      <c r="Q532" s="1358"/>
      <c r="R532" s="1358"/>
      <c r="S532" s="1358"/>
      <c r="T532" s="1358"/>
      <c r="U532" s="1358"/>
      <c r="V532" s="1358"/>
      <c r="W532" s="1358"/>
      <c r="X532" s="1358"/>
      <c r="Y532" s="1358"/>
      <c r="Z532" s="1358"/>
      <c r="AA532" s="1358"/>
      <c r="AC532" s="1339" t="s">
        <v>800</v>
      </c>
      <c r="AD532" s="1340"/>
      <c r="AE532" s="1340"/>
      <c r="AF532" s="1340"/>
      <c r="AG532" s="1066" t="s">
        <v>1330</v>
      </c>
      <c r="AH532" s="1362"/>
      <c r="AI532" s="1362"/>
      <c r="AJ532" s="1362"/>
      <c r="AK532" s="1363"/>
      <c r="AZ532" s="2"/>
      <c r="BA532" s="2"/>
      <c r="BB532" s="2"/>
      <c r="BC532" s="2"/>
      <c r="BD532" s="2"/>
      <c r="BE532" s="2"/>
      <c r="BF532" s="2"/>
      <c r="BG532" s="2"/>
      <c r="BH532" s="2"/>
      <c r="BI532" s="2"/>
      <c r="BJ532" s="2"/>
      <c r="BK532" s="2"/>
      <c r="BL532" s="2"/>
      <c r="BM532" s="2"/>
      <c r="BN532" s="2" t="s">
        <v>1379</v>
      </c>
    </row>
    <row r="533" spans="1:66" ht="13" customHeight="1">
      <c r="B533" s="1347"/>
      <c r="C533" s="1348"/>
      <c r="D533" s="1348"/>
      <c r="E533" s="1348"/>
      <c r="F533" s="1348"/>
      <c r="G533" s="1348"/>
      <c r="H533" s="1349"/>
      <c r="I533" t="s">
        <v>44</v>
      </c>
      <c r="AC533" s="1339" t="s">
        <v>800</v>
      </c>
      <c r="AD533" s="1340"/>
      <c r="AE533" s="1340"/>
      <c r="AF533" s="1340"/>
      <c r="AG533" s="1089" t="s">
        <v>1330</v>
      </c>
      <c r="AH533" s="1362"/>
      <c r="AI533" s="1362"/>
      <c r="AJ533" s="1362"/>
      <c r="AK533" s="1363"/>
      <c r="AZ533" s="2"/>
      <c r="BA533" s="2"/>
      <c r="BB533" s="2"/>
      <c r="BC533" s="2"/>
      <c r="BD533" s="2"/>
      <c r="BE533" s="2"/>
      <c r="BF533" s="2"/>
      <c r="BG533" s="2"/>
      <c r="BH533" s="2"/>
      <c r="BI533" s="2"/>
      <c r="BJ533" s="2"/>
      <c r="BK533" s="2"/>
      <c r="BL533" s="2"/>
      <c r="BM533" s="2"/>
      <c r="BN533" s="2" t="s">
        <v>1380</v>
      </c>
    </row>
    <row r="534" spans="1:66" ht="13" customHeight="1">
      <c r="B534" s="1347"/>
      <c r="C534" s="1348"/>
      <c r="D534" s="1348"/>
      <c r="E534" s="1348"/>
      <c r="F534" s="1348"/>
      <c r="G534" s="1348"/>
      <c r="H534" s="1349"/>
      <c r="I534" s="32" t="s">
        <v>1363</v>
      </c>
      <c r="J534" s="32"/>
      <c r="K534" s="32"/>
      <c r="L534" s="32"/>
      <c r="M534" s="32"/>
      <c r="N534" s="32"/>
      <c r="O534" s="32"/>
      <c r="P534" s="32"/>
      <c r="Q534" s="32"/>
      <c r="R534" s="32"/>
      <c r="S534" s="32"/>
      <c r="T534" s="32"/>
      <c r="U534" s="32"/>
      <c r="V534" s="32"/>
      <c r="W534" s="32"/>
      <c r="X534" s="32"/>
      <c r="Y534" s="32"/>
      <c r="Z534" s="32"/>
      <c r="AA534" s="32"/>
      <c r="AB534" s="32"/>
      <c r="AC534" s="1339" t="s">
        <v>800</v>
      </c>
      <c r="AD534" s="1340"/>
      <c r="AE534" s="1340"/>
      <c r="AF534" s="1340"/>
      <c r="AG534" s="1066" t="s">
        <v>1330</v>
      </c>
      <c r="AH534" s="1362"/>
      <c r="AI534" s="1362"/>
      <c r="AJ534" s="1362"/>
      <c r="AK534" s="1363"/>
      <c r="AZ534" s="2"/>
      <c r="BA534" s="2"/>
      <c r="BB534" s="2"/>
      <c r="BC534" s="2"/>
      <c r="BD534" s="2"/>
      <c r="BE534" s="2"/>
      <c r="BF534" s="2"/>
      <c r="BG534" s="2"/>
      <c r="BH534" s="2"/>
      <c r="BI534" s="2"/>
      <c r="BJ534" s="2"/>
      <c r="BK534" s="2"/>
      <c r="BL534" s="2"/>
      <c r="BM534" s="2"/>
      <c r="BN534" s="2" t="s">
        <v>1381</v>
      </c>
    </row>
    <row r="535" spans="1:66" ht="13" customHeight="1">
      <c r="B535" s="1347"/>
      <c r="C535" s="1348"/>
      <c r="D535" s="1348"/>
      <c r="E535" s="1348"/>
      <c r="F535" s="1348"/>
      <c r="G535" s="1348"/>
      <c r="H535" s="1349"/>
      <c r="I535" s="30" t="s">
        <v>1365</v>
      </c>
      <c r="J535" s="30"/>
      <c r="K535" s="30"/>
      <c r="L535" s="30"/>
      <c r="M535" s="30"/>
      <c r="N535" s="30"/>
      <c r="O535" s="1357" t="s">
        <v>1378</v>
      </c>
      <c r="P535" s="1358"/>
      <c r="Q535" s="1358"/>
      <c r="R535" s="1358"/>
      <c r="S535" s="1358"/>
      <c r="T535" s="1358"/>
      <c r="U535" s="1358"/>
      <c r="V535" s="1358"/>
      <c r="W535" s="1358"/>
      <c r="X535" s="1358"/>
      <c r="Y535" s="1358"/>
      <c r="Z535" s="1358"/>
      <c r="AA535" s="1358"/>
      <c r="AC535" s="1339" t="s">
        <v>800</v>
      </c>
      <c r="AD535" s="1340"/>
      <c r="AE535" s="1340"/>
      <c r="AF535" s="1340"/>
      <c r="AG535" s="1089" t="s">
        <v>1330</v>
      </c>
      <c r="AH535" s="1362"/>
      <c r="AI535" s="1362"/>
      <c r="AJ535" s="1362"/>
      <c r="AK535" s="1363"/>
      <c r="AZ535" s="2"/>
      <c r="BA535" s="2"/>
      <c r="BB535" s="2"/>
      <c r="BC535" s="2"/>
      <c r="BD535" s="2"/>
      <c r="BE535" s="2"/>
      <c r="BF535" s="2"/>
      <c r="BG535" s="2"/>
      <c r="BH535" s="2"/>
      <c r="BI535" s="2"/>
      <c r="BJ535" s="2"/>
      <c r="BK535" s="2"/>
      <c r="BL535" s="2"/>
      <c r="BM535" s="2"/>
      <c r="BN535" s="2" t="s">
        <v>1382</v>
      </c>
    </row>
    <row r="536" spans="1:66" ht="13" customHeight="1">
      <c r="B536" s="1347"/>
      <c r="C536" s="1348"/>
      <c r="D536" s="1348"/>
      <c r="E536" s="1348"/>
      <c r="F536" s="1348"/>
      <c r="G536" s="1348"/>
      <c r="H536" s="1349"/>
      <c r="I536" t="s">
        <v>44</v>
      </c>
      <c r="AC536" s="1339" t="s">
        <v>800</v>
      </c>
      <c r="AD536" s="1340"/>
      <c r="AE536" s="1340"/>
      <c r="AF536" s="1340"/>
      <c r="AG536" s="1066" t="s">
        <v>1330</v>
      </c>
      <c r="AH536" s="1362"/>
      <c r="AI536" s="1362"/>
      <c r="AJ536" s="1362"/>
      <c r="AK536" s="1363"/>
      <c r="AZ536" s="2"/>
      <c r="BA536" s="2"/>
      <c r="BB536" s="2"/>
      <c r="BC536" s="2"/>
      <c r="BD536" s="2"/>
      <c r="BE536" s="2"/>
      <c r="BF536" s="2"/>
      <c r="BG536" s="2"/>
      <c r="BH536" s="2"/>
      <c r="BI536" s="2"/>
      <c r="BJ536" s="2"/>
      <c r="BK536" s="2"/>
      <c r="BL536" s="2"/>
      <c r="BM536" s="2"/>
      <c r="BN536" s="2" t="s">
        <v>1383</v>
      </c>
    </row>
    <row r="537" spans="1:66" ht="13" customHeight="1">
      <c r="B537" s="1347"/>
      <c r="C537" s="1348"/>
      <c r="D537" s="1348"/>
      <c r="E537" s="1348"/>
      <c r="F537" s="1348"/>
      <c r="G537" s="1348"/>
      <c r="H537" s="1349"/>
      <c r="I537" s="32" t="s">
        <v>1363</v>
      </c>
      <c r="J537" s="32"/>
      <c r="K537" s="32"/>
      <c r="L537" s="32"/>
      <c r="M537" s="32"/>
      <c r="N537" s="32"/>
      <c r="O537" s="32"/>
      <c r="P537" s="32"/>
      <c r="Q537" s="32"/>
      <c r="R537" s="32"/>
      <c r="S537" s="32"/>
      <c r="T537" s="32"/>
      <c r="U537" s="32"/>
      <c r="V537" s="32"/>
      <c r="W537" s="32"/>
      <c r="X537" s="32"/>
      <c r="Y537" s="32"/>
      <c r="Z537" s="32"/>
      <c r="AA537" s="32"/>
      <c r="AB537" s="32"/>
      <c r="AC537" s="1339" t="s">
        <v>800</v>
      </c>
      <c r="AD537" s="1340"/>
      <c r="AE537" s="1340"/>
      <c r="AF537" s="1340"/>
      <c r="AG537" s="1089" t="s">
        <v>1330</v>
      </c>
      <c r="AH537" s="1362"/>
      <c r="AI537" s="1362"/>
      <c r="AJ537" s="1362"/>
      <c r="AK537" s="1363"/>
      <c r="AZ537" s="2"/>
      <c r="BA537" s="2"/>
      <c r="BB537" s="2"/>
      <c r="BC537" s="2"/>
      <c r="BD537" s="2"/>
      <c r="BE537" s="2"/>
      <c r="BF537" s="2"/>
      <c r="BG537" s="2"/>
      <c r="BH537" s="2"/>
      <c r="BI537" s="2"/>
      <c r="BJ537" s="2"/>
      <c r="BK537" s="2"/>
      <c r="BL537" s="2"/>
      <c r="BM537" s="2"/>
      <c r="BN537" s="2" t="s">
        <v>1384</v>
      </c>
    </row>
    <row r="538" spans="1:66" ht="13" customHeight="1">
      <c r="B538" s="1347"/>
      <c r="C538" s="1348"/>
      <c r="D538" s="1348"/>
      <c r="E538" s="1348"/>
      <c r="F538" s="1348"/>
      <c r="G538" s="1348"/>
      <c r="H538" s="1349"/>
      <c r="I538" s="30" t="s">
        <v>1385</v>
      </c>
      <c r="J538" s="30"/>
      <c r="K538" s="30"/>
      <c r="L538" s="30"/>
      <c r="M538" s="30"/>
      <c r="N538" s="30"/>
      <c r="O538" s="30"/>
      <c r="P538" s="30"/>
      <c r="Q538" s="30"/>
      <c r="R538" s="30"/>
      <c r="S538" s="30"/>
      <c r="T538" s="30"/>
      <c r="U538" s="30"/>
      <c r="V538" s="30"/>
      <c r="W538" s="30"/>
      <c r="AC538" s="1339">
        <v>10</v>
      </c>
      <c r="AD538" s="1340"/>
      <c r="AE538" s="1340"/>
      <c r="AF538" s="1340"/>
      <c r="AG538" s="1089" t="s">
        <v>1330</v>
      </c>
      <c r="AH538" s="1362">
        <v>2025</v>
      </c>
      <c r="AI538" s="1362"/>
      <c r="AJ538" s="1362"/>
      <c r="AK538" s="1363"/>
      <c r="AZ538" s="2"/>
      <c r="BA538" s="2"/>
      <c r="BB538" s="2"/>
      <c r="BC538" s="2"/>
      <c r="BD538" s="2"/>
      <c r="BE538" s="2"/>
      <c r="BF538" s="2"/>
      <c r="BG538" s="2"/>
      <c r="BH538" s="2"/>
      <c r="BI538" s="2"/>
      <c r="BJ538" s="2"/>
      <c r="BK538" s="2"/>
      <c r="BL538" s="2"/>
      <c r="BM538" s="2"/>
      <c r="BN538" s="2"/>
    </row>
    <row r="539" spans="1:66" ht="13" customHeight="1">
      <c r="B539" s="1347"/>
      <c r="C539" s="1348"/>
      <c r="D539" s="1348"/>
      <c r="E539" s="1348"/>
      <c r="F539" s="1348"/>
      <c r="G539" s="1348"/>
      <c r="H539" s="1349"/>
      <c r="I539" t="s">
        <v>1386</v>
      </c>
      <c r="AC539" s="1339">
        <v>10</v>
      </c>
      <c r="AD539" s="1340"/>
      <c r="AE539" s="1340"/>
      <c r="AF539" s="1340"/>
      <c r="AG539" s="1066" t="s">
        <v>1330</v>
      </c>
      <c r="AH539" s="1362">
        <v>2025</v>
      </c>
      <c r="AI539" s="1362"/>
      <c r="AJ539" s="1362"/>
      <c r="AK539" s="1363"/>
      <c r="AZ539" s="2"/>
      <c r="BA539" s="2"/>
      <c r="BB539" s="2"/>
      <c r="BC539" s="2"/>
      <c r="BD539" s="2"/>
      <c r="BE539" s="2"/>
      <c r="BF539" s="2"/>
      <c r="BG539" s="2"/>
      <c r="BH539" s="2"/>
      <c r="BI539" s="2"/>
      <c r="BJ539" s="2"/>
      <c r="BK539" s="2"/>
      <c r="BL539" s="2"/>
      <c r="BM539" s="2"/>
      <c r="BN539" s="2"/>
    </row>
    <row r="540" spans="1:66" ht="13" customHeight="1">
      <c r="B540" s="1347"/>
      <c r="C540" s="1348"/>
      <c r="D540" s="1348"/>
      <c r="E540" s="1348"/>
      <c r="F540" s="1348"/>
      <c r="G540" s="1348"/>
      <c r="H540" s="1349"/>
      <c r="I540" t="s">
        <v>1387</v>
      </c>
      <c r="AC540" s="1339">
        <v>12</v>
      </c>
      <c r="AD540" s="1340"/>
      <c r="AE540" s="1340"/>
      <c r="AF540" s="1340"/>
      <c r="AG540" s="1089" t="s">
        <v>1330</v>
      </c>
      <c r="AH540" s="1362">
        <v>2026</v>
      </c>
      <c r="AI540" s="1362"/>
      <c r="AJ540" s="1362"/>
      <c r="AK540" s="1363"/>
      <c r="AZ540" s="2"/>
      <c r="BA540" s="2"/>
      <c r="BB540" s="2"/>
      <c r="BC540" s="2"/>
      <c r="BD540" s="2"/>
      <c r="BE540" s="2"/>
      <c r="BF540" s="2"/>
      <c r="BG540" s="2"/>
      <c r="BH540" s="2"/>
      <c r="BI540" s="2"/>
      <c r="BJ540" s="2"/>
      <c r="BK540" s="2"/>
      <c r="BL540" s="2"/>
      <c r="BM540" s="2"/>
      <c r="BN540" s="2"/>
    </row>
    <row r="541" spans="1:66" ht="13" customHeight="1">
      <c r="B541" s="1347"/>
      <c r="C541" s="1348"/>
      <c r="D541" s="1348"/>
      <c r="E541" s="1348"/>
      <c r="F541" s="1348"/>
      <c r="G541" s="1348"/>
      <c r="H541" s="1349"/>
      <c r="I541" t="s">
        <v>1388</v>
      </c>
      <c r="AC541" s="1339">
        <v>12</v>
      </c>
      <c r="AD541" s="1340"/>
      <c r="AE541" s="1340"/>
      <c r="AF541" s="1340"/>
      <c r="AG541" s="1089" t="s">
        <v>1330</v>
      </c>
      <c r="AH541" s="1362">
        <v>2026</v>
      </c>
      <c r="AI541" s="1362"/>
      <c r="AJ541" s="1362"/>
      <c r="AK541" s="1363"/>
      <c r="AZ541" s="2"/>
      <c r="BA541" s="2"/>
      <c r="BB541" s="2"/>
      <c r="BC541" s="2"/>
      <c r="BD541" s="2"/>
      <c r="BE541" s="2"/>
      <c r="BF541" s="2"/>
      <c r="BG541" s="2"/>
      <c r="BH541" s="2"/>
      <c r="BI541" s="2"/>
      <c r="BJ541" s="2"/>
      <c r="BK541" s="2"/>
      <c r="BL541" s="2"/>
      <c r="BM541" s="2"/>
      <c r="BN541" s="2"/>
    </row>
    <row r="542" spans="1:66" ht="13" customHeight="1">
      <c r="B542" s="1350"/>
      <c r="C542" s="1351"/>
      <c r="D542" s="1351"/>
      <c r="E542" s="1351"/>
      <c r="F542" s="1351"/>
      <c r="G542" s="1351"/>
      <c r="H542" s="1352"/>
      <c r="I542" s="32" t="s">
        <v>1389</v>
      </c>
      <c r="J542" s="32"/>
      <c r="K542" s="32"/>
      <c r="L542" s="32"/>
      <c r="M542" s="32"/>
      <c r="N542" s="32"/>
      <c r="O542" s="32"/>
      <c r="P542" s="32"/>
      <c r="Q542" s="32"/>
      <c r="R542" s="32"/>
      <c r="S542" s="32"/>
      <c r="T542" s="32"/>
      <c r="U542" s="32"/>
      <c r="V542" s="32"/>
      <c r="W542" s="32"/>
      <c r="X542" s="32"/>
      <c r="Y542" s="32"/>
      <c r="Z542" s="32"/>
      <c r="AA542" s="32"/>
      <c r="AB542" s="32"/>
      <c r="AC542" s="1339">
        <v>2</v>
      </c>
      <c r="AD542" s="1340"/>
      <c r="AE542" s="1340"/>
      <c r="AF542" s="1340"/>
      <c r="AG542" s="1089" t="s">
        <v>1330</v>
      </c>
      <c r="AH542" s="1362">
        <v>2027</v>
      </c>
      <c r="AI542" s="1362"/>
      <c r="AJ542" s="1362"/>
      <c r="AK542" s="1363"/>
      <c r="BB542" s="2"/>
      <c r="BC542" s="2"/>
      <c r="BD542" s="2"/>
      <c r="BE542" s="2"/>
      <c r="BF542" s="2"/>
      <c r="BG542" s="2"/>
      <c r="BH542" s="2" t="s">
        <v>18</v>
      </c>
      <c r="BI542" s="2" t="str">
        <f>N649</f>
        <v>Yes</v>
      </c>
      <c r="BJ542" s="2"/>
      <c r="BK542" s="2"/>
      <c r="BL542" s="2"/>
      <c r="BM542" s="2"/>
      <c r="BN542" s="2"/>
    </row>
    <row r="543" spans="1:66" ht="13" customHeight="1">
      <c r="B543" s="381"/>
      <c r="C543" s="1072"/>
      <c r="D543" s="1072"/>
      <c r="E543" s="1072"/>
      <c r="F543" s="1072"/>
      <c r="G543" s="1072"/>
      <c r="H543" s="1072"/>
      <c r="AB543" s="1072"/>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3" customHeight="1">
      <c r="A544" s="1227" t="s">
        <v>1390</v>
      </c>
      <c r="B544" s="1227"/>
      <c r="C544" s="1227"/>
      <c r="D544" s="1227"/>
      <c r="E544" s="1227"/>
      <c r="F544" s="1227"/>
      <c r="G544" s="1227"/>
      <c r="H544" s="1227"/>
      <c r="I544" s="1227"/>
      <c r="J544" s="1227"/>
      <c r="K544" s="1227"/>
      <c r="L544" s="1227"/>
      <c r="M544" s="1227"/>
      <c r="N544" s="1227"/>
      <c r="O544" s="1227"/>
      <c r="P544" s="1227"/>
      <c r="Q544" s="1227"/>
      <c r="R544" s="1227"/>
      <c r="S544" s="1227"/>
      <c r="T544" s="1227"/>
      <c r="U544" s="1227"/>
      <c r="V544" s="1227"/>
      <c r="W544" s="1227"/>
      <c r="X544" s="1227"/>
      <c r="Y544" s="1227"/>
      <c r="Z544" s="1227"/>
      <c r="AA544" s="1227"/>
      <c r="AB544" s="1227"/>
      <c r="AC544" s="1227"/>
      <c r="AD544" s="1227"/>
      <c r="AE544" s="1227"/>
      <c r="AF544" s="1227"/>
      <c r="AG544" s="1227"/>
      <c r="AH544" s="1227"/>
      <c r="AI544" s="1227"/>
      <c r="AJ544" s="1227"/>
      <c r="AK544" s="1227"/>
      <c r="AL544" s="1227"/>
      <c r="AM544" s="1227"/>
      <c r="AN544" s="1227"/>
      <c r="AO544" s="1227"/>
      <c r="AP544" s="1227"/>
      <c r="AQ544" s="1227"/>
      <c r="AR544" s="1227"/>
      <c r="AS544" s="1227"/>
      <c r="AT544" s="1227"/>
      <c r="AU544" s="710"/>
      <c r="AV544" s="710"/>
      <c r="AW544" s="710"/>
      <c r="AX544" s="710"/>
      <c r="AY544" s="710"/>
      <c r="BB544" s="2"/>
      <c r="BC544" s="2"/>
      <c r="BD544" s="2"/>
      <c r="BE544" s="2"/>
      <c r="BF544" s="2"/>
      <c r="BG544" s="2"/>
      <c r="BH544" s="2"/>
      <c r="BI544" s="2"/>
      <c r="BJ544" s="2"/>
      <c r="BK544" s="2"/>
      <c r="BL544" s="2"/>
      <c r="BM544" s="2"/>
      <c r="BN544" s="2"/>
    </row>
    <row r="545" spans="1:61" ht="13" customHeight="1">
      <c r="A545" s="1227"/>
      <c r="B545" s="1227"/>
      <c r="C545" s="1227"/>
      <c r="D545" s="1227"/>
      <c r="E545" s="1227"/>
      <c r="F545" s="1227"/>
      <c r="G545" s="1227"/>
      <c r="H545" s="1227"/>
      <c r="I545" s="1227"/>
      <c r="J545" s="1227"/>
      <c r="K545" s="1227"/>
      <c r="L545" s="1227"/>
      <c r="M545" s="1227"/>
      <c r="N545" s="1227"/>
      <c r="O545" s="1227"/>
      <c r="P545" s="1227"/>
      <c r="Q545" s="1227"/>
      <c r="R545" s="1227"/>
      <c r="S545" s="1227"/>
      <c r="T545" s="1227"/>
      <c r="U545" s="1227"/>
      <c r="V545" s="1227"/>
      <c r="W545" s="1227"/>
      <c r="X545" s="1227"/>
      <c r="Y545" s="1227"/>
      <c r="Z545" s="1227"/>
      <c r="AA545" s="1227"/>
      <c r="AB545" s="1227"/>
      <c r="AC545" s="1227"/>
      <c r="AD545" s="1227"/>
      <c r="AE545" s="1227"/>
      <c r="AF545" s="1227"/>
      <c r="AG545" s="1227"/>
      <c r="AH545" s="1227"/>
      <c r="AI545" s="1227"/>
      <c r="AJ545" s="1227"/>
      <c r="AK545" s="1227"/>
      <c r="AL545" s="1227"/>
      <c r="AM545" s="1227"/>
      <c r="AN545" s="1227"/>
      <c r="AO545" s="1227"/>
      <c r="AP545" s="1227"/>
      <c r="AQ545" s="1227"/>
      <c r="AR545" s="1227"/>
      <c r="AS545" s="1227"/>
      <c r="AT545" s="1227"/>
      <c r="BB545" s="2"/>
      <c r="BC545" s="2"/>
      <c r="BD545" s="2"/>
      <c r="BE545" s="2"/>
      <c r="BF545" s="2"/>
      <c r="BG545" s="2"/>
      <c r="BH545" s="2"/>
      <c r="BI545" s="2"/>
    </row>
    <row r="546" spans="1:61" ht="13" customHeight="1">
      <c r="BB546" s="2"/>
      <c r="BC546" s="2"/>
      <c r="BD546" s="2"/>
      <c r="BE546" s="2"/>
      <c r="BF546" s="2"/>
      <c r="BG546" s="2"/>
      <c r="BH546" s="2"/>
      <c r="BI546" s="2"/>
    </row>
    <row r="547" spans="1:61" ht="13" customHeight="1">
      <c r="A547" s="1" t="s">
        <v>872</v>
      </c>
      <c r="B547" s="1"/>
      <c r="C547" s="1" t="s">
        <v>172</v>
      </c>
      <c r="BB547" s="2"/>
      <c r="BC547" s="2"/>
      <c r="BD547" s="2"/>
      <c r="BE547" s="2"/>
      <c r="BF547" s="2"/>
      <c r="BG547" s="2"/>
      <c r="BH547" s="2"/>
      <c r="BI547" s="2"/>
    </row>
    <row r="548" spans="1:61" ht="13" customHeight="1">
      <c r="A548" s="1"/>
      <c r="B548" s="1"/>
      <c r="C548" s="1"/>
      <c r="BB548" s="2"/>
      <c r="BC548" s="2"/>
      <c r="BD548" s="2"/>
      <c r="BE548" s="2"/>
      <c r="BF548" s="2"/>
      <c r="BG548" s="2"/>
      <c r="BH548" s="2"/>
      <c r="BI548" s="2"/>
    </row>
    <row r="549" spans="1:61" ht="13" customHeight="1">
      <c r="A549" s="1"/>
      <c r="B549" s="1"/>
      <c r="C549" s="1"/>
      <c r="D549" s="1" t="s">
        <v>1391</v>
      </c>
      <c r="AC549" s="57"/>
      <c r="BB549" s="2"/>
      <c r="BC549" s="2"/>
      <c r="BD549" s="2"/>
      <c r="BE549" s="2"/>
      <c r="BF549" s="2"/>
      <c r="BG549" s="2"/>
      <c r="BH549" s="2"/>
      <c r="BI549" s="2"/>
    </row>
    <row r="550" spans="1:61" ht="13" customHeight="1">
      <c r="B550" s="363"/>
      <c r="BB550" s="2"/>
      <c r="BC550" s="2"/>
      <c r="BD550" s="2"/>
      <c r="BE550" s="2"/>
      <c r="BF550" s="2"/>
      <c r="BG550" s="2"/>
      <c r="BH550" s="2" t="s">
        <v>39</v>
      </c>
      <c r="BI550" s="2" t="str">
        <f>N657</f>
        <v>Yes</v>
      </c>
    </row>
    <row r="551" spans="1:61" ht="13" customHeight="1">
      <c r="B551" s="1344" t="s">
        <v>1392</v>
      </c>
      <c r="C551" s="1345"/>
      <c r="D551" s="1345"/>
      <c r="E551" s="1345"/>
      <c r="F551" s="1345"/>
      <c r="G551" s="1345"/>
      <c r="H551" s="1345"/>
      <c r="I551" s="1345"/>
      <c r="J551" s="1345"/>
      <c r="K551" s="1345"/>
      <c r="L551" s="1346"/>
      <c r="M551" s="1344" t="s">
        <v>1393</v>
      </c>
      <c r="N551" s="1345"/>
      <c r="O551" s="1345"/>
      <c r="P551" s="1346"/>
      <c r="Q551" s="1344" t="s">
        <v>1394</v>
      </c>
      <c r="R551" s="1345"/>
      <c r="S551" s="1346"/>
      <c r="T551" s="1344" t="s">
        <v>1395</v>
      </c>
      <c r="U551" s="1345"/>
      <c r="V551" s="1346"/>
      <c r="W551" s="1344" t="s">
        <v>1396</v>
      </c>
      <c r="X551" s="1345"/>
      <c r="Y551" s="1346"/>
      <c r="Z551" s="1344" t="s">
        <v>1397</v>
      </c>
      <c r="AA551" s="1345"/>
      <c r="AB551" s="1345"/>
      <c r="AC551" s="1345"/>
      <c r="AD551" s="1346"/>
      <c r="AE551" s="1344" t="s">
        <v>1398</v>
      </c>
      <c r="AF551" s="1345"/>
      <c r="AG551" s="1345"/>
      <c r="AH551" s="1346"/>
      <c r="AI551" s="1344" t="s">
        <v>1399</v>
      </c>
      <c r="AJ551" s="1345"/>
      <c r="AK551" s="1345"/>
      <c r="AL551" s="1346"/>
      <c r="AM551" s="1344" t="s">
        <v>1400</v>
      </c>
      <c r="AN551" s="1345"/>
      <c r="AO551" s="1345"/>
      <c r="AP551" s="1345"/>
      <c r="AQ551" s="1345"/>
      <c r="AR551" s="1345"/>
      <c r="AS551" s="1346"/>
      <c r="BB551" s="2"/>
      <c r="BC551" s="2"/>
      <c r="BD551" s="2"/>
      <c r="BE551" s="2"/>
      <c r="BF551" s="2"/>
      <c r="BG551" s="2"/>
      <c r="BH551" s="2" t="s">
        <v>82</v>
      </c>
      <c r="BI551" s="2" t="str">
        <f>AG657</f>
        <v>Yes</v>
      </c>
    </row>
    <row r="552" spans="1:61" ht="13" customHeight="1">
      <c r="B552" s="1347"/>
      <c r="C552" s="1348"/>
      <c r="D552" s="1348"/>
      <c r="E552" s="1348"/>
      <c r="F552" s="1348"/>
      <c r="G552" s="1348"/>
      <c r="H552" s="1348"/>
      <c r="I552" s="1348"/>
      <c r="J552" s="1348"/>
      <c r="K552" s="1348"/>
      <c r="L552" s="1349"/>
      <c r="M552" s="1347"/>
      <c r="N552" s="1348"/>
      <c r="O552" s="1348"/>
      <c r="P552" s="1349"/>
      <c r="Q552" s="1347"/>
      <c r="R552" s="1348"/>
      <c r="S552" s="1349"/>
      <c r="T552" s="1347"/>
      <c r="U552" s="1348"/>
      <c r="V552" s="1349"/>
      <c r="W552" s="1347"/>
      <c r="X552" s="1348"/>
      <c r="Y552" s="1349"/>
      <c r="Z552" s="1347"/>
      <c r="AA552" s="1348"/>
      <c r="AB552" s="1348"/>
      <c r="AC552" s="1348"/>
      <c r="AD552" s="1349"/>
      <c r="AE552" s="1347"/>
      <c r="AF552" s="1348"/>
      <c r="AG552" s="1348"/>
      <c r="AH552" s="1349"/>
      <c r="AI552" s="1347"/>
      <c r="AJ552" s="1348"/>
      <c r="AK552" s="1348"/>
      <c r="AL552" s="1349"/>
      <c r="AM552" s="1347"/>
      <c r="AN552" s="1348"/>
      <c r="AO552" s="1348"/>
      <c r="AP552" s="1348"/>
      <c r="AQ552" s="1348"/>
      <c r="AR552" s="1348"/>
      <c r="AS552" s="1349"/>
      <c r="AU552" s="927"/>
      <c r="BB552" s="2"/>
      <c r="BC552" s="2"/>
      <c r="BD552" s="2"/>
      <c r="BE552" s="2"/>
      <c r="BF552" s="2"/>
      <c r="BG552" s="2"/>
      <c r="BH552" s="2"/>
      <c r="BI552" s="2"/>
    </row>
    <row r="553" spans="1:61" ht="13" customHeight="1">
      <c r="B553" s="1350"/>
      <c r="C553" s="1351"/>
      <c r="D553" s="1351"/>
      <c r="E553" s="1351"/>
      <c r="F553" s="1351"/>
      <c r="G553" s="1351"/>
      <c r="H553" s="1351"/>
      <c r="I553" s="1351"/>
      <c r="J553" s="1351"/>
      <c r="K553" s="1351"/>
      <c r="L553" s="1352"/>
      <c r="M553" s="1350"/>
      <c r="N553" s="1351"/>
      <c r="O553" s="1351"/>
      <c r="P553" s="1352"/>
      <c r="Q553" s="1350"/>
      <c r="R553" s="1351"/>
      <c r="S553" s="1352"/>
      <c r="T553" s="1350"/>
      <c r="U553" s="1351"/>
      <c r="V553" s="1352"/>
      <c r="W553" s="1350"/>
      <c r="X553" s="1351"/>
      <c r="Y553" s="1352"/>
      <c r="Z553" s="1350"/>
      <c r="AA553" s="1351"/>
      <c r="AB553" s="1351"/>
      <c r="AC553" s="1351"/>
      <c r="AD553" s="1352"/>
      <c r="AE553" s="1350"/>
      <c r="AF553" s="1351"/>
      <c r="AG553" s="1351"/>
      <c r="AH553" s="1352"/>
      <c r="AI553" s="1350"/>
      <c r="AJ553" s="1351"/>
      <c r="AK553" s="1351"/>
      <c r="AL553" s="1352"/>
      <c r="AM553" s="1350"/>
      <c r="AN553" s="1351"/>
      <c r="AO553" s="1351"/>
      <c r="AP553" s="1351"/>
      <c r="AQ553" s="1351"/>
      <c r="AR553" s="1351"/>
      <c r="AS553" s="1352"/>
      <c r="AU553" s="927"/>
      <c r="BB553" s="2"/>
      <c r="BC553" s="2"/>
      <c r="BD553" s="2"/>
      <c r="BE553" s="2"/>
      <c r="BF553" s="2"/>
      <c r="BG553" s="2"/>
      <c r="BH553" s="2"/>
      <c r="BI553" s="2"/>
    </row>
    <row r="554" spans="1:61" ht="13" customHeight="1">
      <c r="B554" s="34" t="s">
        <v>18</v>
      </c>
      <c r="C554" s="1368" t="s">
        <v>1401</v>
      </c>
      <c r="D554" s="1368"/>
      <c r="E554" s="1368"/>
      <c r="F554" s="1368"/>
      <c r="G554" s="1368"/>
      <c r="H554" s="1368"/>
      <c r="I554" s="1368"/>
      <c r="J554" s="1368"/>
      <c r="K554" s="1368"/>
      <c r="L554" s="1368"/>
      <c r="M554" s="1368" t="s">
        <v>1373</v>
      </c>
      <c r="N554" s="1368"/>
      <c r="O554" s="1368"/>
      <c r="P554" s="1368"/>
      <c r="Q554" s="1365">
        <v>20</v>
      </c>
      <c r="R554" s="1365"/>
      <c r="S554" s="1366"/>
      <c r="T554" s="1364">
        <v>20</v>
      </c>
      <c r="U554" s="1365"/>
      <c r="V554" s="1366"/>
      <c r="W554" s="1372">
        <v>6.6600000000000006E-2</v>
      </c>
      <c r="X554" s="1373"/>
      <c r="Y554" s="1374"/>
      <c r="Z554" s="1367" t="s">
        <v>1402</v>
      </c>
      <c r="AA554" s="1367"/>
      <c r="AB554" s="1367"/>
      <c r="AC554" s="1367"/>
      <c r="AD554" s="1367"/>
      <c r="AE554" s="1359">
        <v>1</v>
      </c>
      <c r="AF554" s="1360"/>
      <c r="AG554" s="1360"/>
      <c r="AH554" s="1361"/>
      <c r="AI554" s="1354"/>
      <c r="AJ554" s="1355"/>
      <c r="AK554" s="1355"/>
      <c r="AL554" s="1356"/>
      <c r="AM554" s="1401">
        <v>19904951</v>
      </c>
      <c r="AN554" s="1402"/>
      <c r="AO554" s="1402"/>
      <c r="AP554" s="1402"/>
      <c r="AQ554" s="1402"/>
      <c r="AR554" s="1402"/>
      <c r="AS554" s="1403"/>
      <c r="AT554" s="928"/>
      <c r="AU554" s="927"/>
      <c r="BB554" s="2"/>
      <c r="BC554" s="2"/>
      <c r="BD554" s="2"/>
      <c r="BE554" s="2"/>
      <c r="BF554" s="2"/>
      <c r="BG554" s="2"/>
      <c r="BH554" s="2"/>
      <c r="BI554" s="2"/>
    </row>
    <row r="555" spans="1:61" ht="13" customHeight="1">
      <c r="B555" s="35" t="s">
        <v>31</v>
      </c>
      <c r="C555" s="1371" t="s">
        <v>1403</v>
      </c>
      <c r="D555" s="1371"/>
      <c r="E555" s="1371"/>
      <c r="F555" s="1371"/>
      <c r="G555" s="1371"/>
      <c r="H555" s="1371"/>
      <c r="I555" s="1371"/>
      <c r="J555" s="1371"/>
      <c r="K555" s="1371"/>
      <c r="L555" s="1371"/>
      <c r="M555" s="1368" t="s">
        <v>1372</v>
      </c>
      <c r="N555" s="1368"/>
      <c r="O555" s="1368"/>
      <c r="P555" s="1368"/>
      <c r="Q555" s="1364">
        <v>20</v>
      </c>
      <c r="R555" s="1365"/>
      <c r="S555" s="1366"/>
      <c r="T555" s="1364">
        <v>20</v>
      </c>
      <c r="U555" s="1365"/>
      <c r="V555" s="1366"/>
      <c r="W555" s="1372">
        <f>+W554</f>
        <v>6.6600000000000006E-2</v>
      </c>
      <c r="X555" s="1373"/>
      <c r="Y555" s="1374"/>
      <c r="Z555" s="1367" t="s">
        <v>1402</v>
      </c>
      <c r="AA555" s="1367"/>
      <c r="AB555" s="1367"/>
      <c r="AC555" s="1367"/>
      <c r="AD555" s="1367"/>
      <c r="AE555" s="1359">
        <v>2</v>
      </c>
      <c r="AF555" s="1360"/>
      <c r="AG555" s="1360"/>
      <c r="AH555" s="1361"/>
      <c r="AI555" s="1354"/>
      <c r="AJ555" s="1355"/>
      <c r="AK555" s="1355"/>
      <c r="AL555" s="1356"/>
      <c r="AM555" s="1401">
        <v>4023604</v>
      </c>
      <c r="AN555" s="1402"/>
      <c r="AO555" s="1402"/>
      <c r="AP555" s="1402"/>
      <c r="AQ555" s="1402"/>
      <c r="AR555" s="1402"/>
      <c r="AS555" s="1403"/>
      <c r="AT555" s="928" t="str">
        <f>IF(AND(NOT(C554=""),C555="",NOT(C556="")),"!","")</f>
        <v/>
      </c>
      <c r="AU555" s="927"/>
      <c r="BB555" s="2"/>
      <c r="BC555" s="2"/>
      <c r="BD555" s="2"/>
      <c r="BE555" s="2"/>
      <c r="BF555" s="2"/>
      <c r="BG555" s="2"/>
      <c r="BH555" s="2"/>
      <c r="BI555" s="2"/>
    </row>
    <row r="556" spans="1:61" ht="13" customHeight="1">
      <c r="B556" s="35" t="s">
        <v>39</v>
      </c>
      <c r="C556" s="1371" t="s">
        <v>1404</v>
      </c>
      <c r="D556" s="1371"/>
      <c r="E556" s="1371"/>
      <c r="F556" s="1371"/>
      <c r="G556" s="1371"/>
      <c r="H556" s="1371"/>
      <c r="I556" s="1371"/>
      <c r="J556" s="1371"/>
      <c r="K556" s="1371"/>
      <c r="L556" s="1371"/>
      <c r="M556" s="1368" t="s">
        <v>1368</v>
      </c>
      <c r="N556" s="1368"/>
      <c r="O556" s="1368"/>
      <c r="P556" s="1368"/>
      <c r="Q556" s="1364">
        <v>20</v>
      </c>
      <c r="R556" s="1365"/>
      <c r="S556" s="1366"/>
      <c r="T556" s="1364">
        <v>20</v>
      </c>
      <c r="U556" s="1365"/>
      <c r="V556" s="1366"/>
      <c r="W556" s="1372">
        <v>0.03</v>
      </c>
      <c r="X556" s="1373"/>
      <c r="Y556" s="1374"/>
      <c r="Z556" s="1367" t="s">
        <v>1405</v>
      </c>
      <c r="AA556" s="1367"/>
      <c r="AB556" s="1367"/>
      <c r="AC556" s="1367"/>
      <c r="AD556" s="1367"/>
      <c r="AE556" s="1359">
        <v>4</v>
      </c>
      <c r="AF556" s="1360"/>
      <c r="AG556" s="1360"/>
      <c r="AH556" s="1361"/>
      <c r="AI556" s="1354"/>
      <c r="AJ556" s="1355"/>
      <c r="AK556" s="1355"/>
      <c r="AL556" s="1356"/>
      <c r="AM556" s="1401">
        <v>1369665</v>
      </c>
      <c r="AN556" s="1402"/>
      <c r="AO556" s="1402"/>
      <c r="AP556" s="1402"/>
      <c r="AQ556" s="1402"/>
      <c r="AR556" s="1402"/>
      <c r="AS556" s="1403"/>
      <c r="AT556" s="928" t="str">
        <f>IF(AND(NOT(C555=""),C556="",NOT(C557="")),"!","")</f>
        <v/>
      </c>
      <c r="AU556" s="927"/>
      <c r="BB556" s="2"/>
      <c r="BC556" s="2"/>
      <c r="BD556" s="2"/>
      <c r="BE556" s="2"/>
      <c r="BF556" s="2"/>
      <c r="BG556" s="2"/>
      <c r="BH556" s="2"/>
      <c r="BI556" s="2"/>
    </row>
    <row r="557" spans="1:61" ht="13" customHeight="1">
      <c r="B557" s="35" t="s">
        <v>82</v>
      </c>
      <c r="C557" s="1371" t="s">
        <v>1406</v>
      </c>
      <c r="D557" s="1371"/>
      <c r="E557" s="1371"/>
      <c r="F557" s="1371"/>
      <c r="G557" s="1371"/>
      <c r="H557" s="1371"/>
      <c r="I557" s="1371"/>
      <c r="J557" s="1371"/>
      <c r="K557" s="1371"/>
      <c r="L557" s="1371"/>
      <c r="M557" s="1368" t="s">
        <v>1346</v>
      </c>
      <c r="N557" s="1368"/>
      <c r="O557" s="1368"/>
      <c r="P557" s="1368"/>
      <c r="Q557" s="1364"/>
      <c r="R557" s="1365"/>
      <c r="S557" s="1366"/>
      <c r="T557" s="1364"/>
      <c r="U557" s="1365"/>
      <c r="V557" s="1366"/>
      <c r="W557" s="1372"/>
      <c r="X557" s="1373"/>
      <c r="Y557" s="1374"/>
      <c r="Z557" s="1367" t="s">
        <v>800</v>
      </c>
      <c r="AA557" s="1367"/>
      <c r="AB557" s="1367"/>
      <c r="AC557" s="1367"/>
      <c r="AD557" s="1367"/>
      <c r="AE557" s="1359"/>
      <c r="AF557" s="1360"/>
      <c r="AG557" s="1360"/>
      <c r="AH557" s="1361"/>
      <c r="AI557" s="1354"/>
      <c r="AJ557" s="1355"/>
      <c r="AK557" s="1355"/>
      <c r="AL557" s="1356"/>
      <c r="AM557" s="1401">
        <v>41392</v>
      </c>
      <c r="AN557" s="1402"/>
      <c r="AO557" s="1402"/>
      <c r="AP557" s="1402"/>
      <c r="AQ557" s="1402"/>
      <c r="AR557" s="1402"/>
      <c r="AS557" s="1403"/>
      <c r="AT557" s="928" t="str">
        <f>IF(AND(NOT(C556=""),C557="",NOT(C558="")),"!","")</f>
        <v/>
      </c>
      <c r="AU557" s="927"/>
      <c r="BB557" s="2"/>
      <c r="BC557" s="2"/>
      <c r="BD557" s="2"/>
      <c r="BE557" s="2"/>
      <c r="BF557" s="2"/>
      <c r="BG557" s="2"/>
      <c r="BH557" s="2"/>
      <c r="BI557" s="2"/>
    </row>
    <row r="558" spans="1:61" ht="13" customHeight="1">
      <c r="B558" s="35" t="s">
        <v>86</v>
      </c>
      <c r="C558" s="1371" t="s">
        <v>1360</v>
      </c>
      <c r="D558" s="1371"/>
      <c r="E558" s="1371"/>
      <c r="F558" s="1371"/>
      <c r="G558" s="1371"/>
      <c r="H558" s="1371"/>
      <c r="I558" s="1371"/>
      <c r="J558" s="1371"/>
      <c r="K558" s="1371"/>
      <c r="L558" s="1371"/>
      <c r="M558" s="1368" t="s">
        <v>1368</v>
      </c>
      <c r="N558" s="1368"/>
      <c r="O558" s="1368"/>
      <c r="P558" s="1368"/>
      <c r="Q558" s="1364">
        <v>20</v>
      </c>
      <c r="R558" s="1365"/>
      <c r="S558" s="1366"/>
      <c r="T558" s="1364">
        <v>20</v>
      </c>
      <c r="U558" s="1365"/>
      <c r="V558" s="1366"/>
      <c r="W558" s="1372">
        <v>0</v>
      </c>
      <c r="X558" s="1373"/>
      <c r="Y558" s="1374"/>
      <c r="Z558" s="1367" t="s">
        <v>1405</v>
      </c>
      <c r="AA558" s="1367"/>
      <c r="AB558" s="1367"/>
      <c r="AC558" s="1367"/>
      <c r="AD558" s="1367"/>
      <c r="AE558" s="1359">
        <v>3</v>
      </c>
      <c r="AF558" s="1360"/>
      <c r="AG558" s="1360"/>
      <c r="AH558" s="1361"/>
      <c r="AI558" s="1354"/>
      <c r="AJ558" s="1355"/>
      <c r="AK558" s="1355"/>
      <c r="AL558" s="1356"/>
      <c r="AM558" s="1401">
        <v>5141962</v>
      </c>
      <c r="AN558" s="1402"/>
      <c r="AO558" s="1402"/>
      <c r="AP558" s="1402"/>
      <c r="AQ558" s="1402"/>
      <c r="AR558" s="1402"/>
      <c r="AS558" s="1403"/>
      <c r="AT558" s="928" t="str">
        <f t="shared" ref="AT558:AT565" si="0">IF(AND(NOT(C557=""),C558="",NOT(C559="")),"!","")</f>
        <v/>
      </c>
      <c r="AU558" s="927"/>
      <c r="BB558" s="2"/>
      <c r="BC558" s="2"/>
      <c r="BD558" s="2"/>
      <c r="BE558" s="2"/>
      <c r="BF558" s="2"/>
      <c r="BG558" s="2"/>
      <c r="BH558" s="2" t="s">
        <v>86</v>
      </c>
      <c r="BI558" s="2" t="str">
        <f>N665</f>
        <v>No</v>
      </c>
    </row>
    <row r="559" spans="1:61" ht="13" customHeight="1">
      <c r="B559" s="35" t="s">
        <v>1407</v>
      </c>
      <c r="C559" s="1371" t="s">
        <v>1408</v>
      </c>
      <c r="D559" s="1371"/>
      <c r="E559" s="1371"/>
      <c r="F559" s="1371"/>
      <c r="G559" s="1371"/>
      <c r="H559" s="1371"/>
      <c r="I559" s="1371"/>
      <c r="J559" s="1371"/>
      <c r="K559" s="1371"/>
      <c r="L559" s="1371"/>
      <c r="M559" s="1368" t="s">
        <v>1349</v>
      </c>
      <c r="N559" s="1368"/>
      <c r="O559" s="1368"/>
      <c r="P559" s="1368"/>
      <c r="Q559" s="1364"/>
      <c r="R559" s="1365"/>
      <c r="S559" s="1366"/>
      <c r="T559" s="1364"/>
      <c r="U559" s="1365"/>
      <c r="V559" s="1366"/>
      <c r="W559" s="1372"/>
      <c r="X559" s="1373"/>
      <c r="Y559" s="1374"/>
      <c r="Z559" s="1367" t="s">
        <v>800</v>
      </c>
      <c r="AA559" s="1367"/>
      <c r="AB559" s="1367"/>
      <c r="AC559" s="1367"/>
      <c r="AD559" s="1367"/>
      <c r="AE559" s="1359"/>
      <c r="AF559" s="1360"/>
      <c r="AG559" s="1360"/>
      <c r="AH559" s="1361"/>
      <c r="AI559" s="1354"/>
      <c r="AJ559" s="1355"/>
      <c r="AK559" s="1355"/>
      <c r="AL559" s="1356"/>
      <c r="AM559" s="1401">
        <v>1975850</v>
      </c>
      <c r="AN559" s="1402"/>
      <c r="AO559" s="1402"/>
      <c r="AP559" s="1402"/>
      <c r="AQ559" s="1402"/>
      <c r="AR559" s="1402"/>
      <c r="AS559" s="1403"/>
      <c r="AT559" s="928" t="str">
        <f t="shared" si="0"/>
        <v/>
      </c>
      <c r="AU559" s="927"/>
      <c r="BB559" s="2"/>
      <c r="BC559" s="2"/>
      <c r="BD559" s="2"/>
      <c r="BE559" s="2"/>
      <c r="BF559" s="2"/>
      <c r="BG559" s="2"/>
      <c r="BH559" s="2" t="s">
        <v>1407</v>
      </c>
      <c r="BI559" s="2" t="str">
        <f>AG665</f>
        <v>No</v>
      </c>
    </row>
    <row r="560" spans="1:61" ht="13" customHeight="1">
      <c r="B560" s="35" t="s">
        <v>1409</v>
      </c>
      <c r="C560" s="1371" t="s">
        <v>1410</v>
      </c>
      <c r="D560" s="1371"/>
      <c r="E560" s="1371"/>
      <c r="F560" s="1371"/>
      <c r="G560" s="1371"/>
      <c r="H560" s="1371"/>
      <c r="I560" s="1371"/>
      <c r="J560" s="1371"/>
      <c r="K560" s="1371"/>
      <c r="L560" s="1371"/>
      <c r="M560" s="1368" t="s">
        <v>1351</v>
      </c>
      <c r="N560" s="1368"/>
      <c r="O560" s="1368"/>
      <c r="P560" s="1368"/>
      <c r="Q560" s="1364"/>
      <c r="R560" s="1365"/>
      <c r="S560" s="1366"/>
      <c r="T560" s="1364"/>
      <c r="U560" s="1365"/>
      <c r="V560" s="1366"/>
      <c r="W560" s="1372"/>
      <c r="X560" s="1373"/>
      <c r="Y560" s="1374"/>
      <c r="Z560" s="1367" t="s">
        <v>800</v>
      </c>
      <c r="AA560" s="1367"/>
      <c r="AB560" s="1367"/>
      <c r="AC560" s="1367"/>
      <c r="AD560" s="1367"/>
      <c r="AE560" s="1359"/>
      <c r="AF560" s="1360"/>
      <c r="AG560" s="1360"/>
      <c r="AH560" s="1361"/>
      <c r="AI560" s="1354"/>
      <c r="AJ560" s="1355"/>
      <c r="AK560" s="1355"/>
      <c r="AL560" s="1356"/>
      <c r="AM560" s="1401">
        <v>2514020</v>
      </c>
      <c r="AN560" s="1402"/>
      <c r="AO560" s="1402"/>
      <c r="AP560" s="1402"/>
      <c r="AQ560" s="1402"/>
      <c r="AR560" s="1402"/>
      <c r="AS560" s="1403"/>
      <c r="AT560" s="928" t="str">
        <f t="shared" si="0"/>
        <v/>
      </c>
      <c r="AU560" s="927"/>
      <c r="BB560" s="2"/>
      <c r="BC560" s="2"/>
      <c r="BD560" s="2"/>
      <c r="BE560" s="2"/>
      <c r="BF560" s="2"/>
      <c r="BG560" s="2"/>
      <c r="BH560" s="2"/>
      <c r="BI560" s="2"/>
    </row>
    <row r="561" spans="1:61" ht="13" customHeight="1">
      <c r="B561" s="35" t="s">
        <v>1411</v>
      </c>
      <c r="C561" s="1371" t="s">
        <v>1412</v>
      </c>
      <c r="D561" s="1371"/>
      <c r="E561" s="1371"/>
      <c r="F561" s="1371"/>
      <c r="G561" s="1371"/>
      <c r="H561" s="1371"/>
      <c r="I561" s="1371"/>
      <c r="J561" s="1371"/>
      <c r="K561" s="1371"/>
      <c r="L561" s="1371"/>
      <c r="M561" s="1368" t="s">
        <v>1357</v>
      </c>
      <c r="N561" s="1368"/>
      <c r="O561" s="1368"/>
      <c r="P561" s="1368"/>
      <c r="Q561" s="1364"/>
      <c r="R561" s="1365"/>
      <c r="S561" s="1366"/>
      <c r="T561" s="1364"/>
      <c r="U561" s="1365"/>
      <c r="V561" s="1366"/>
      <c r="W561" s="1372"/>
      <c r="X561" s="1373"/>
      <c r="Y561" s="1374"/>
      <c r="Z561" s="1367" t="s">
        <v>800</v>
      </c>
      <c r="AA561" s="1367"/>
      <c r="AB561" s="1367"/>
      <c r="AC561" s="1367"/>
      <c r="AD561" s="1367"/>
      <c r="AE561" s="1359"/>
      <c r="AF561" s="1360"/>
      <c r="AG561" s="1360"/>
      <c r="AH561" s="1361"/>
      <c r="AI561" s="1354"/>
      <c r="AJ561" s="1355"/>
      <c r="AK561" s="1355"/>
      <c r="AL561" s="1356"/>
      <c r="AM561" s="1401">
        <f>2808844-156000</f>
        <v>2652844</v>
      </c>
      <c r="AN561" s="1402"/>
      <c r="AO561" s="1402"/>
      <c r="AP561" s="1402"/>
      <c r="AQ561" s="1402"/>
      <c r="AR561" s="1402"/>
      <c r="AS561" s="1403"/>
      <c r="AT561" s="928" t="str">
        <f>IF(AND(NOT(C560=""),C561="",NOT(C562="")),"!","")</f>
        <v/>
      </c>
      <c r="AU561" s="927"/>
      <c r="BB561" s="2"/>
      <c r="BC561" s="2"/>
      <c r="BD561" s="2"/>
      <c r="BE561" s="2"/>
      <c r="BF561" s="2"/>
      <c r="BG561" s="2"/>
      <c r="BH561" s="2"/>
      <c r="BI561" s="2"/>
    </row>
    <row r="562" spans="1:61" ht="13" customHeight="1">
      <c r="B562" s="35" t="s">
        <v>1413</v>
      </c>
      <c r="C562" s="1371" t="s">
        <v>1414</v>
      </c>
      <c r="D562" s="1371"/>
      <c r="E562" s="1371"/>
      <c r="F562" s="1371"/>
      <c r="G562" s="1371"/>
      <c r="H562" s="1371"/>
      <c r="I562" s="1371"/>
      <c r="J562" s="1371"/>
      <c r="K562" s="1371"/>
      <c r="L562" s="1371"/>
      <c r="M562" s="1368" t="s">
        <v>1382</v>
      </c>
      <c r="N562" s="1368"/>
      <c r="O562" s="1368"/>
      <c r="P562" s="1368"/>
      <c r="Q562" s="1364"/>
      <c r="R562" s="1365"/>
      <c r="S562" s="1366"/>
      <c r="T562" s="1364"/>
      <c r="U562" s="1365"/>
      <c r="V562" s="1366"/>
      <c r="W562" s="1372"/>
      <c r="X562" s="1373"/>
      <c r="Y562" s="1374"/>
      <c r="Z562" s="1367" t="s">
        <v>800</v>
      </c>
      <c r="AA562" s="1367"/>
      <c r="AB562" s="1367"/>
      <c r="AC562" s="1367"/>
      <c r="AD562" s="1367"/>
      <c r="AE562" s="1359"/>
      <c r="AF562" s="1360"/>
      <c r="AG562" s="1360"/>
      <c r="AH562" s="1361"/>
      <c r="AI562" s="1354"/>
      <c r="AJ562" s="1355"/>
      <c r="AK562" s="1355"/>
      <c r="AL562" s="1356"/>
      <c r="AM562" s="1401">
        <v>975793</v>
      </c>
      <c r="AN562" s="1402"/>
      <c r="AO562" s="1402"/>
      <c r="AP562" s="1402"/>
      <c r="AQ562" s="1402"/>
      <c r="AR562" s="1402"/>
      <c r="AS562" s="1403"/>
      <c r="AT562" s="928" t="str">
        <f>IF(AND(NOT(C561=""),C562="",NOT(C563="")),"!","")</f>
        <v/>
      </c>
      <c r="AU562" s="927"/>
      <c r="BB562" s="2"/>
      <c r="BC562" s="2"/>
      <c r="BD562" s="2"/>
      <c r="BE562" s="2"/>
      <c r="BF562" s="2"/>
      <c r="BG562" s="2"/>
      <c r="BH562" s="2"/>
      <c r="BI562" s="2"/>
    </row>
    <row r="563" spans="1:61" ht="13" customHeight="1">
      <c r="B563" s="35" t="s">
        <v>1415</v>
      </c>
      <c r="C563" s="1620"/>
      <c r="D563" s="1621"/>
      <c r="E563" s="1621"/>
      <c r="F563" s="1621"/>
      <c r="G563" s="1621"/>
      <c r="H563" s="1621"/>
      <c r="I563" s="1621"/>
      <c r="J563" s="1621"/>
      <c r="K563" s="1621"/>
      <c r="L563" s="1622"/>
      <c r="M563" s="1368" t="s">
        <v>1003</v>
      </c>
      <c r="N563" s="1368"/>
      <c r="O563" s="1368"/>
      <c r="P563" s="1368"/>
      <c r="Q563" s="1364"/>
      <c r="R563" s="1365"/>
      <c r="S563" s="1366"/>
      <c r="T563" s="1364"/>
      <c r="U563" s="1365"/>
      <c r="V563" s="1366"/>
      <c r="W563" s="1372"/>
      <c r="X563" s="1373"/>
      <c r="Y563" s="1374"/>
      <c r="Z563" s="1367" t="s">
        <v>1003</v>
      </c>
      <c r="AA563" s="1367"/>
      <c r="AB563" s="1367"/>
      <c r="AC563" s="1367"/>
      <c r="AD563" s="1367"/>
      <c r="AE563" s="1359"/>
      <c r="AF563" s="1360"/>
      <c r="AG563" s="1360"/>
      <c r="AH563" s="1361"/>
      <c r="AI563" s="1354"/>
      <c r="AJ563" s="1355"/>
      <c r="AK563" s="1355"/>
      <c r="AL563" s="1356"/>
      <c r="AM563" s="1401"/>
      <c r="AN563" s="1402"/>
      <c r="AO563" s="1402"/>
      <c r="AP563" s="1402"/>
      <c r="AQ563" s="1402"/>
      <c r="AR563" s="1402"/>
      <c r="AS563" s="1403"/>
      <c r="AT563" s="928" t="str">
        <f>IF(AND(NOT(C562=""),C563="",NOT(C564="")),"!","")</f>
        <v/>
      </c>
      <c r="BB563" s="2"/>
      <c r="BC563" s="2"/>
      <c r="BD563" s="2"/>
      <c r="BE563" s="2"/>
      <c r="BF563" s="2"/>
      <c r="BG563" s="2"/>
      <c r="BH563" s="2"/>
      <c r="BI563" s="2"/>
    </row>
    <row r="564" spans="1:61" ht="13" customHeight="1">
      <c r="B564" s="35" t="s">
        <v>1416</v>
      </c>
      <c r="C564" s="1371"/>
      <c r="D564" s="1371"/>
      <c r="E564" s="1371"/>
      <c r="F564" s="1371"/>
      <c r="G564" s="1371"/>
      <c r="H564" s="1371"/>
      <c r="I564" s="1371"/>
      <c r="J564" s="1371"/>
      <c r="K564" s="1371"/>
      <c r="L564" s="1371"/>
      <c r="M564" s="1368" t="s">
        <v>1003</v>
      </c>
      <c r="N564" s="1368"/>
      <c r="O564" s="1368"/>
      <c r="P564" s="1368"/>
      <c r="Q564" s="1364"/>
      <c r="R564" s="1365"/>
      <c r="S564" s="1366"/>
      <c r="T564" s="1364"/>
      <c r="U564" s="1365"/>
      <c r="V564" s="1366"/>
      <c r="W564" s="1372"/>
      <c r="X564" s="1373"/>
      <c r="Y564" s="1374"/>
      <c r="Z564" s="1367" t="s">
        <v>1003</v>
      </c>
      <c r="AA564" s="1367"/>
      <c r="AB564" s="1367"/>
      <c r="AC564" s="1367"/>
      <c r="AD564" s="1367"/>
      <c r="AE564" s="1359"/>
      <c r="AF564" s="1360"/>
      <c r="AG564" s="1360"/>
      <c r="AH564" s="1361"/>
      <c r="AI564" s="1354"/>
      <c r="AJ564" s="1355"/>
      <c r="AK564" s="1355"/>
      <c r="AL564" s="1356"/>
      <c r="AM564" s="1401"/>
      <c r="AN564" s="1402"/>
      <c r="AO564" s="1402"/>
      <c r="AP564" s="1402"/>
      <c r="AQ564" s="1402"/>
      <c r="AR564" s="1402"/>
      <c r="AS564" s="1403"/>
      <c r="AT564" s="928" t="str">
        <f>IF(AND(NOT(C563=""),C564="",NOT(C565="")),"!","")</f>
        <v/>
      </c>
      <c r="BB564" s="2"/>
      <c r="BC564" s="2"/>
      <c r="BD564" s="2"/>
      <c r="BE564" s="2"/>
      <c r="BF564" s="2"/>
      <c r="BG564" s="2"/>
      <c r="BH564" s="2"/>
      <c r="BI564" s="2"/>
    </row>
    <row r="565" spans="1:61" ht="13" customHeight="1">
      <c r="B565" s="35" t="s">
        <v>1417</v>
      </c>
      <c r="C565" s="1371"/>
      <c r="D565" s="1371"/>
      <c r="E565" s="1371"/>
      <c r="F565" s="1371"/>
      <c r="G565" s="1371"/>
      <c r="H565" s="1371"/>
      <c r="I565" s="1371"/>
      <c r="J565" s="1371"/>
      <c r="K565" s="1371"/>
      <c r="L565" s="1371"/>
      <c r="M565" s="1368" t="s">
        <v>1003</v>
      </c>
      <c r="N565" s="1368"/>
      <c r="O565" s="1368"/>
      <c r="P565" s="1368"/>
      <c r="Q565" s="1364"/>
      <c r="R565" s="1365"/>
      <c r="S565" s="1366"/>
      <c r="T565" s="1364"/>
      <c r="U565" s="1365"/>
      <c r="V565" s="1366"/>
      <c r="W565" s="1372"/>
      <c r="X565" s="1373"/>
      <c r="Y565" s="1374"/>
      <c r="Z565" s="1367" t="s">
        <v>1003</v>
      </c>
      <c r="AA565" s="1367"/>
      <c r="AB565" s="1367"/>
      <c r="AC565" s="1367"/>
      <c r="AD565" s="1367"/>
      <c r="AE565" s="1359"/>
      <c r="AF565" s="1360"/>
      <c r="AG565" s="1360"/>
      <c r="AH565" s="1361"/>
      <c r="AI565" s="1354"/>
      <c r="AJ565" s="1355"/>
      <c r="AK565" s="1355"/>
      <c r="AL565" s="1356"/>
      <c r="AM565" s="1401"/>
      <c r="AN565" s="1402"/>
      <c r="AO565" s="1402"/>
      <c r="AP565" s="1402"/>
      <c r="AQ565" s="1402"/>
      <c r="AR565" s="1402"/>
      <c r="AS565" s="1403"/>
      <c r="AT565" s="928" t="str">
        <f t="shared" si="0"/>
        <v/>
      </c>
      <c r="BB565" s="2"/>
      <c r="BC565" s="2"/>
      <c r="BD565" s="2"/>
      <c r="BE565" s="2"/>
      <c r="BF565" s="2"/>
      <c r="BG565" s="2"/>
      <c r="BH565" s="2"/>
      <c r="BI565" s="2"/>
    </row>
    <row r="566" spans="1:61" ht="13" customHeight="1">
      <c r="B566" s="1527" t="s">
        <v>1418</v>
      </c>
      <c r="C566" s="1528"/>
      <c r="D566" s="1528"/>
      <c r="E566" s="1528"/>
      <c r="F566" s="1528"/>
      <c r="G566" s="1528"/>
      <c r="H566" s="1528"/>
      <c r="I566" s="1528"/>
      <c r="J566" s="1528"/>
      <c r="K566" s="1528"/>
      <c r="L566" s="1528"/>
      <c r="M566" s="1528"/>
      <c r="N566" s="1528"/>
      <c r="O566" s="1528"/>
      <c r="P566" s="1528"/>
      <c r="Q566" s="1528"/>
      <c r="R566" s="1528"/>
      <c r="S566" s="1528"/>
      <c r="T566" s="1528"/>
      <c r="U566" s="1529"/>
      <c r="V566" s="1528"/>
      <c r="W566" s="1528"/>
      <c r="X566" s="1528"/>
      <c r="Y566" s="1528"/>
      <c r="Z566" s="1528"/>
      <c r="AA566" s="1528"/>
      <c r="AB566" s="1528"/>
      <c r="AC566" s="1528"/>
      <c r="AD566" s="1528"/>
      <c r="AE566" s="1528"/>
      <c r="AF566" s="1528"/>
      <c r="AG566" s="1528"/>
      <c r="AH566" s="1528"/>
      <c r="AI566" s="1528"/>
      <c r="AJ566" s="1528"/>
      <c r="AK566" s="1528"/>
      <c r="AL566" s="1530"/>
      <c r="AM566" s="1407">
        <f>SUM(AM554:AS565)</f>
        <v>38600081</v>
      </c>
      <c r="AN566" s="1408"/>
      <c r="AO566" s="1408"/>
      <c r="AP566" s="1408"/>
      <c r="AQ566" s="1408"/>
      <c r="AR566" s="1408"/>
      <c r="AS566" s="1409"/>
      <c r="BB566" s="2"/>
      <c r="BC566" s="2"/>
      <c r="BD566" s="2"/>
      <c r="BE566" s="2"/>
      <c r="BF566" s="2"/>
      <c r="BG566" s="2"/>
      <c r="BH566" s="2" t="s">
        <v>1409</v>
      </c>
      <c r="BI566" s="2" t="str">
        <f>N673</f>
        <v>Yes</v>
      </c>
    </row>
    <row r="567" spans="1:61" ht="13"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1411</v>
      </c>
      <c r="BI567" s="2" t="str">
        <f>AG673</f>
        <v>No</v>
      </c>
    </row>
    <row r="568" spans="1:61" ht="13" customHeight="1">
      <c r="A568" s="36" t="s">
        <v>18</v>
      </c>
      <c r="B568" t="s">
        <v>1419</v>
      </c>
      <c r="G568" s="1414" t="str">
        <f>C554</f>
        <v>US Bank Tax-Exempt Construction Loan</v>
      </c>
      <c r="H568" s="1414"/>
      <c r="I568" s="1414"/>
      <c r="J568" s="1414"/>
      <c r="K568" s="1414"/>
      <c r="L568" s="1414"/>
      <c r="M568" s="1414"/>
      <c r="N568" s="1414"/>
      <c r="O568" s="1414"/>
      <c r="P568" s="1414"/>
      <c r="Q568" s="1414"/>
      <c r="R568" s="1414"/>
      <c r="S568" s="6"/>
      <c r="T568" s="36" t="s">
        <v>31</v>
      </c>
      <c r="U568" t="s">
        <v>1419</v>
      </c>
      <c r="Z568" s="1414" t="str">
        <f>C555</f>
        <v>US Bank Taxable Construction Loan</v>
      </c>
      <c r="AA568" s="1414"/>
      <c r="AB568" s="1414"/>
      <c r="AC568" s="1414"/>
      <c r="AD568" s="1414"/>
      <c r="AE568" s="1414"/>
      <c r="AF568" s="1414"/>
      <c r="AG568" s="1414"/>
      <c r="AH568" s="1414"/>
      <c r="AI568" s="1414"/>
      <c r="AJ568" s="1414"/>
      <c r="AK568" s="1414"/>
      <c r="BB568" s="2"/>
      <c r="BC568" s="2"/>
      <c r="BD568" s="2"/>
      <c r="BE568" s="2"/>
      <c r="BF568" s="2"/>
      <c r="BG568" s="2"/>
      <c r="BH568" s="2"/>
      <c r="BI568" s="2"/>
    </row>
    <row r="569" spans="1:61" ht="13" customHeight="1">
      <c r="A569" s="17"/>
      <c r="B569" t="s">
        <v>1064</v>
      </c>
      <c r="G569" s="1369" t="s">
        <v>1420</v>
      </c>
      <c r="H569" s="1369"/>
      <c r="I569" s="1369"/>
      <c r="J569" s="1369"/>
      <c r="K569" s="1369"/>
      <c r="L569" s="1369"/>
      <c r="M569" s="1369"/>
      <c r="N569" s="1369"/>
      <c r="O569" s="1369"/>
      <c r="P569" s="1369"/>
      <c r="Q569" s="1369"/>
      <c r="R569" s="1369"/>
      <c r="S569" s="6"/>
      <c r="T569" s="17"/>
      <c r="U569" t="s">
        <v>1064</v>
      </c>
      <c r="Z569" s="1369" t="s">
        <v>1420</v>
      </c>
      <c r="AA569" s="1369"/>
      <c r="AB569" s="1369"/>
      <c r="AC569" s="1369"/>
      <c r="AD569" s="1369"/>
      <c r="AE569" s="1369"/>
      <c r="AF569" s="1369"/>
      <c r="AG569" s="1369"/>
      <c r="AH569" s="1369"/>
      <c r="AI569" s="1369"/>
      <c r="AJ569" s="1369"/>
      <c r="AK569" s="1369"/>
      <c r="BB569" s="2"/>
      <c r="BC569" s="2"/>
      <c r="BD569" s="2"/>
      <c r="BE569" s="2"/>
      <c r="BF569" s="2"/>
      <c r="BG569" s="2"/>
      <c r="BH569" s="2"/>
      <c r="BI569" s="2"/>
    </row>
    <row r="570" spans="1:61" ht="13" customHeight="1">
      <c r="A570" s="17"/>
      <c r="B570" t="s">
        <v>932</v>
      </c>
      <c r="G570" s="1369" t="s">
        <v>1421</v>
      </c>
      <c r="H570" s="1369"/>
      <c r="I570" s="1369"/>
      <c r="J570" s="1369"/>
      <c r="K570" s="1369"/>
      <c r="L570" s="1369"/>
      <c r="M570" s="1369"/>
      <c r="N570" s="1369"/>
      <c r="O570" s="1369"/>
      <c r="P570" s="1369"/>
      <c r="Q570" s="1369"/>
      <c r="R570" s="1369"/>
      <c r="T570" s="17"/>
      <c r="U570" t="s">
        <v>932</v>
      </c>
      <c r="Z570" s="1322" t="s">
        <v>1421</v>
      </c>
      <c r="AA570" s="1322"/>
      <c r="AB570" s="1322"/>
      <c r="AC570" s="1322"/>
      <c r="AD570" s="1322"/>
      <c r="AE570" s="1322"/>
      <c r="AF570" s="1322"/>
      <c r="AG570" s="1322"/>
      <c r="AH570" s="1322"/>
      <c r="AI570" s="1322"/>
      <c r="AJ570" s="1322"/>
      <c r="AK570" s="1322"/>
      <c r="BB570" s="2"/>
      <c r="BC570" s="2"/>
      <c r="BD570" s="2"/>
      <c r="BE570" s="2"/>
      <c r="BF570" s="2"/>
      <c r="BG570" s="2"/>
      <c r="BH570" s="2"/>
      <c r="BI570" s="2"/>
    </row>
    <row r="571" spans="1:61" ht="13" customHeight="1">
      <c r="A571" s="17"/>
      <c r="B571" t="s">
        <v>1422</v>
      </c>
      <c r="G571" s="1369" t="s">
        <v>1423</v>
      </c>
      <c r="H571" s="1369"/>
      <c r="I571" s="1369"/>
      <c r="J571" s="1369"/>
      <c r="K571" s="1369"/>
      <c r="L571" s="1369"/>
      <c r="M571" s="1369"/>
      <c r="N571" s="1369"/>
      <c r="O571" s="1369"/>
      <c r="P571" s="1369"/>
      <c r="Q571" s="1369"/>
      <c r="R571" s="1369"/>
      <c r="S571" s="6"/>
      <c r="T571" s="17"/>
      <c r="U571" t="s">
        <v>1422</v>
      </c>
      <c r="Z571" s="1322" t="s">
        <v>1423</v>
      </c>
      <c r="AA571" s="1322"/>
      <c r="AB571" s="1322"/>
      <c r="AC571" s="1322"/>
      <c r="AD571" s="1322"/>
      <c r="AE571" s="1322"/>
      <c r="AF571" s="1322"/>
      <c r="AG571" s="1322"/>
      <c r="AH571" s="1322"/>
      <c r="AI571" s="1322"/>
      <c r="AJ571" s="1322"/>
      <c r="AK571" s="1322"/>
      <c r="BB571" s="2"/>
      <c r="BC571" s="2"/>
      <c r="BD571" s="2"/>
      <c r="BE571" s="2"/>
      <c r="BF571" s="2"/>
      <c r="BG571" s="2"/>
      <c r="BH571" s="2"/>
      <c r="BI571" s="2"/>
    </row>
    <row r="572" spans="1:61" ht="13" customHeight="1">
      <c r="A572" s="17"/>
      <c r="B572" t="s">
        <v>826</v>
      </c>
      <c r="G572" s="1421" t="s">
        <v>1424</v>
      </c>
      <c r="H572" s="1421"/>
      <c r="I572" s="1421"/>
      <c r="J572" s="1421"/>
      <c r="K572" s="1421"/>
      <c r="L572" s="1421"/>
      <c r="O572" s="815" t="s">
        <v>1072</v>
      </c>
      <c r="P572" s="1370"/>
      <c r="Q572" s="1370"/>
      <c r="R572" s="1370"/>
      <c r="S572" s="8"/>
      <c r="T572" s="17"/>
      <c r="U572" t="s">
        <v>826</v>
      </c>
      <c r="Z572" s="1421" t="s">
        <v>1424</v>
      </c>
      <c r="AA572" s="1421"/>
      <c r="AB572" s="1421"/>
      <c r="AC572" s="1421"/>
      <c r="AD572" s="1421"/>
      <c r="AE572" s="1421"/>
      <c r="AH572" s="815" t="s">
        <v>1072</v>
      </c>
      <c r="AI572" s="1370"/>
      <c r="AJ572" s="1370"/>
      <c r="AK572" s="1370"/>
      <c r="BB572" s="2"/>
      <c r="BC572" s="2"/>
      <c r="BD572" s="2"/>
      <c r="BE572" s="2"/>
      <c r="BF572" s="2"/>
      <c r="BG572" s="2"/>
      <c r="BH572" s="2"/>
      <c r="BI572" s="2"/>
    </row>
    <row r="573" spans="1:61" ht="13" customHeight="1">
      <c r="A573" s="17"/>
      <c r="B573" t="s">
        <v>1425</v>
      </c>
      <c r="H573" s="1369" t="s">
        <v>1426</v>
      </c>
      <c r="I573" s="1369"/>
      <c r="J573" s="1369"/>
      <c r="K573" s="1369"/>
      <c r="L573" s="1369"/>
      <c r="M573" s="1369"/>
      <c r="N573" s="1369"/>
      <c r="O573" s="1369"/>
      <c r="P573" s="1369"/>
      <c r="Q573" s="1369"/>
      <c r="R573" s="1369"/>
      <c r="S573" s="6"/>
      <c r="T573" s="17"/>
      <c r="U573" t="s">
        <v>1425</v>
      </c>
      <c r="AA573" s="1369" t="s">
        <v>1426</v>
      </c>
      <c r="AB573" s="1369"/>
      <c r="AC573" s="1369"/>
      <c r="AD573" s="1369"/>
      <c r="AE573" s="1369"/>
      <c r="AF573" s="1369"/>
      <c r="AG573" s="1369"/>
      <c r="AH573" s="1369"/>
      <c r="AI573" s="1369"/>
      <c r="AJ573" s="1369"/>
      <c r="AK573" s="1369"/>
      <c r="BB573" s="2"/>
      <c r="BC573" s="2"/>
      <c r="BD573" s="2"/>
      <c r="BE573" s="2"/>
      <c r="BF573" s="2"/>
      <c r="BG573" s="2"/>
      <c r="BH573" s="2"/>
      <c r="BI573" s="2"/>
    </row>
    <row r="574" spans="1:61" ht="13" customHeight="1">
      <c r="A574" s="17"/>
      <c r="B574" s="199" t="s">
        <v>1427</v>
      </c>
      <c r="H574" s="6"/>
      <c r="I574" s="6"/>
      <c r="J574" s="6"/>
      <c r="K574" s="6"/>
      <c r="L574" s="6"/>
      <c r="M574" s="1598" t="s">
        <v>1428</v>
      </c>
      <c r="N574" s="1573"/>
      <c r="O574" s="1573"/>
      <c r="P574" s="1573"/>
      <c r="Q574" s="1573"/>
      <c r="R574" s="1573"/>
      <c r="S574" s="6"/>
      <c r="T574" s="17"/>
      <c r="U574" s="199" t="s">
        <v>1427</v>
      </c>
      <c r="AA574" s="6"/>
      <c r="AB574" s="6"/>
      <c r="AC574" s="6"/>
      <c r="AD574" s="6"/>
      <c r="AE574" s="6"/>
      <c r="AF574" s="1598" t="s">
        <v>1428</v>
      </c>
      <c r="AG574" s="1573"/>
      <c r="AH574" s="1573"/>
      <c r="AI574" s="1573"/>
      <c r="AJ574" s="1573"/>
      <c r="AK574" s="1573"/>
      <c r="BB574" s="2"/>
      <c r="BC574" s="2"/>
      <c r="BD574" s="2"/>
      <c r="BE574" s="2"/>
      <c r="BF574" s="2"/>
      <c r="BG574" s="2"/>
      <c r="BH574" s="2"/>
      <c r="BI574" s="2"/>
    </row>
    <row r="575" spans="1:61" ht="13" customHeight="1">
      <c r="A575" s="17"/>
      <c r="B575" t="s">
        <v>1429</v>
      </c>
      <c r="N575" s="1353" t="s">
        <v>847</v>
      </c>
      <c r="O575" s="1353"/>
      <c r="T575" s="17"/>
      <c r="U575" t="s">
        <v>1429</v>
      </c>
      <c r="AG575" s="1353" t="s">
        <v>847</v>
      </c>
      <c r="AH575" s="1353"/>
      <c r="BB575" s="2"/>
      <c r="BC575" s="2"/>
      <c r="BD575" s="2"/>
      <c r="BE575" s="2"/>
      <c r="BF575" s="2"/>
      <c r="BG575" s="2"/>
      <c r="BH575" s="2"/>
      <c r="BI575" s="2"/>
    </row>
    <row r="576" spans="1:61" ht="13" customHeight="1">
      <c r="A576" s="17"/>
      <c r="T576" s="17"/>
      <c r="BB576" s="2"/>
      <c r="BC576" s="2"/>
      <c r="BD576" s="2"/>
      <c r="BE576" s="2"/>
      <c r="BF576" s="2"/>
      <c r="BG576" s="2"/>
      <c r="BH576" s="2"/>
      <c r="BI576" s="2"/>
    </row>
    <row r="577" spans="1:55" ht="13" customHeight="1">
      <c r="A577" s="36" t="s">
        <v>39</v>
      </c>
      <c r="B577" t="s">
        <v>1419</v>
      </c>
      <c r="G577" s="1414" t="str">
        <f>C556</f>
        <v>Sponsor Loan - Tulare County REAP</v>
      </c>
      <c r="H577" s="1414"/>
      <c r="I577" s="1414"/>
      <c r="J577" s="1414"/>
      <c r="K577" s="1414"/>
      <c r="L577" s="1414"/>
      <c r="M577" s="1414"/>
      <c r="N577" s="1414"/>
      <c r="O577" s="1414"/>
      <c r="P577" s="1414"/>
      <c r="Q577" s="1414"/>
      <c r="R577" s="1414"/>
      <c r="T577" s="36" t="s">
        <v>82</v>
      </c>
      <c r="U577" t="s">
        <v>1419</v>
      </c>
      <c r="Z577" s="1414" t="str">
        <f>C557</f>
        <v>Accrued Interest - Sponsor Loan - Tulare County REAP</v>
      </c>
      <c r="AA577" s="1414"/>
      <c r="AB577" s="1414"/>
      <c r="AC577" s="1414"/>
      <c r="AD577" s="1414"/>
      <c r="AE577" s="1414"/>
      <c r="AF577" s="1414"/>
      <c r="AG577" s="1414"/>
      <c r="AH577" s="1414"/>
      <c r="AI577" s="1414"/>
      <c r="AJ577" s="1414"/>
      <c r="AK577" s="1414"/>
      <c r="BB577" s="2"/>
      <c r="BC577" s="2"/>
    </row>
    <row r="578" spans="1:55" ht="13" customHeight="1">
      <c r="A578" s="17"/>
      <c r="B578" t="s">
        <v>1064</v>
      </c>
      <c r="G578" s="1369" t="s">
        <v>1430</v>
      </c>
      <c r="H578" s="1369"/>
      <c r="I578" s="1369"/>
      <c r="J578" s="1369"/>
      <c r="K578" s="1369"/>
      <c r="L578" s="1369"/>
      <c r="M578" s="1369"/>
      <c r="N578" s="1369"/>
      <c r="O578" s="1369"/>
      <c r="P578" s="1369"/>
      <c r="Q578" s="1369"/>
      <c r="R578" s="1369"/>
      <c r="T578" s="17"/>
      <c r="U578" t="s">
        <v>1064</v>
      </c>
      <c r="Z578" s="1369" t="s">
        <v>1430</v>
      </c>
      <c r="AA578" s="1369"/>
      <c r="AB578" s="1369"/>
      <c r="AC578" s="1369"/>
      <c r="AD578" s="1369"/>
      <c r="AE578" s="1369"/>
      <c r="AF578" s="1369"/>
      <c r="AG578" s="1369"/>
      <c r="AH578" s="1369"/>
      <c r="AI578" s="1369"/>
      <c r="AJ578" s="1369"/>
      <c r="AK578" s="1369"/>
      <c r="BB578" s="2"/>
      <c r="BC578" s="2"/>
    </row>
    <row r="579" spans="1:55" ht="13" customHeight="1">
      <c r="A579" s="17"/>
      <c r="B579" t="s">
        <v>932</v>
      </c>
      <c r="G579" s="1322" t="s">
        <v>1431</v>
      </c>
      <c r="H579" s="1322"/>
      <c r="I579" s="1322"/>
      <c r="J579" s="1322"/>
      <c r="K579" s="1322"/>
      <c r="L579" s="1322"/>
      <c r="M579" s="1322"/>
      <c r="N579" s="1322"/>
      <c r="O579" s="1322"/>
      <c r="P579" s="1322"/>
      <c r="Q579" s="1322"/>
      <c r="R579" s="1322"/>
      <c r="T579" s="17"/>
      <c r="U579" t="s">
        <v>932</v>
      </c>
      <c r="Z579" s="1322" t="s">
        <v>1431</v>
      </c>
      <c r="AA579" s="1322"/>
      <c r="AB579" s="1322"/>
      <c r="AC579" s="1322"/>
      <c r="AD579" s="1322"/>
      <c r="AE579" s="1322"/>
      <c r="AF579" s="1322"/>
      <c r="AG579" s="1322"/>
      <c r="AH579" s="1322"/>
      <c r="AI579" s="1322"/>
      <c r="AJ579" s="1322"/>
      <c r="AK579" s="1322"/>
      <c r="BB579" s="2"/>
      <c r="BC579" s="2"/>
    </row>
    <row r="580" spans="1:55" ht="13" customHeight="1">
      <c r="A580" s="17"/>
      <c r="B580" t="s">
        <v>1422</v>
      </c>
      <c r="G580" s="1322" t="s">
        <v>1432</v>
      </c>
      <c r="H580" s="1322"/>
      <c r="I580" s="1322"/>
      <c r="J580" s="1322"/>
      <c r="K580" s="1322"/>
      <c r="L580" s="1322"/>
      <c r="M580" s="1322"/>
      <c r="N580" s="1322"/>
      <c r="O580" s="1322"/>
      <c r="P580" s="1322"/>
      <c r="Q580" s="1322"/>
      <c r="R580" s="1322"/>
      <c r="T580" s="17"/>
      <c r="U580" t="s">
        <v>1422</v>
      </c>
      <c r="Z580" s="1322" t="s">
        <v>1432</v>
      </c>
      <c r="AA580" s="1322"/>
      <c r="AB580" s="1322"/>
      <c r="AC580" s="1322"/>
      <c r="AD580" s="1322"/>
      <c r="AE580" s="1322"/>
      <c r="AF580" s="1322"/>
      <c r="AG580" s="1322"/>
      <c r="AH580" s="1322"/>
      <c r="AI580" s="1322"/>
      <c r="AJ580" s="1322"/>
      <c r="AK580" s="1322"/>
      <c r="BB580" s="2"/>
      <c r="BC580" s="2"/>
    </row>
    <row r="581" spans="1:55" ht="13" customHeight="1">
      <c r="A581" s="17"/>
      <c r="B581" t="s">
        <v>826</v>
      </c>
      <c r="G581" s="1421" t="s">
        <v>1433</v>
      </c>
      <c r="H581" s="1421"/>
      <c r="I581" s="1421"/>
      <c r="J581" s="1421"/>
      <c r="K581" s="1421"/>
      <c r="L581" s="1421"/>
      <c r="O581" s="815" t="s">
        <v>1072</v>
      </c>
      <c r="P581" s="1370"/>
      <c r="Q581" s="1370"/>
      <c r="R581" s="1370"/>
      <c r="T581" s="17"/>
      <c r="U581" t="s">
        <v>826</v>
      </c>
      <c r="Z581" s="1421" t="s">
        <v>1433</v>
      </c>
      <c r="AA581" s="1421"/>
      <c r="AB581" s="1421"/>
      <c r="AC581" s="1421"/>
      <c r="AD581" s="1421"/>
      <c r="AE581" s="1421"/>
      <c r="AH581" s="815" t="s">
        <v>1072</v>
      </c>
      <c r="AI581" s="1370"/>
      <c r="AJ581" s="1370"/>
      <c r="AK581" s="1370"/>
      <c r="BB581" s="2"/>
      <c r="BC581" s="2"/>
    </row>
    <row r="582" spans="1:55" ht="13" customHeight="1">
      <c r="A582" s="17"/>
      <c r="B582" t="s">
        <v>1425</v>
      </c>
      <c r="H582" s="1369" t="s">
        <v>1434</v>
      </c>
      <c r="I582" s="1369"/>
      <c r="J582" s="1369"/>
      <c r="K582" s="1369"/>
      <c r="L582" s="1369"/>
      <c r="M582" s="1369"/>
      <c r="N582" s="1369"/>
      <c r="O582" s="1369"/>
      <c r="P582" s="1369"/>
      <c r="Q582" s="1369"/>
      <c r="R582" s="1369"/>
      <c r="T582" s="17"/>
      <c r="U582" t="s">
        <v>1425</v>
      </c>
      <c r="AA582" s="1369"/>
      <c r="AB582" s="1369"/>
      <c r="AC582" s="1369"/>
      <c r="AD582" s="1369"/>
      <c r="AE582" s="1369"/>
      <c r="AF582" s="1369"/>
      <c r="AG582" s="1369"/>
      <c r="AH582" s="1369"/>
      <c r="AI582" s="1369"/>
      <c r="AJ582" s="1369"/>
      <c r="AK582" s="1369"/>
      <c r="BB582" s="2"/>
      <c r="BC582" s="2"/>
    </row>
    <row r="583" spans="1:55" ht="13" customHeight="1">
      <c r="A583" s="17"/>
      <c r="B583" t="s">
        <v>1429</v>
      </c>
      <c r="N583" s="1353" t="s">
        <v>847</v>
      </c>
      <c r="O583" s="1353"/>
      <c r="T583" s="17"/>
      <c r="U583" t="s">
        <v>1429</v>
      </c>
      <c r="AG583" s="1353" t="s">
        <v>847</v>
      </c>
      <c r="AH583" s="1353"/>
      <c r="BB583" s="2"/>
      <c r="BC583" s="2"/>
    </row>
    <row r="584" spans="1:55" ht="13" customHeight="1">
      <c r="A584" s="17"/>
      <c r="T584" s="17"/>
      <c r="BB584" s="2"/>
      <c r="BC584" s="2"/>
    </row>
    <row r="585" spans="1:55" ht="13" customHeight="1">
      <c r="A585" s="36" t="s">
        <v>86</v>
      </c>
      <c r="B585" t="s">
        <v>1419</v>
      </c>
      <c r="G585" s="1414" t="str">
        <f>C558</f>
        <v>HCD - NHTF</v>
      </c>
      <c r="H585" s="1414"/>
      <c r="I585" s="1414"/>
      <c r="J585" s="1414"/>
      <c r="K585" s="1414"/>
      <c r="L585" s="1414"/>
      <c r="M585" s="1414"/>
      <c r="N585" s="1414"/>
      <c r="O585" s="1414"/>
      <c r="P585" s="1414"/>
      <c r="Q585" s="1414"/>
      <c r="R585" s="1414"/>
      <c r="T585" s="36" t="s">
        <v>1407</v>
      </c>
      <c r="U585" t="s">
        <v>1419</v>
      </c>
      <c r="Z585" s="1414" t="str">
        <f>C559</f>
        <v>Costs Deferred Until Conversion</v>
      </c>
      <c r="AA585" s="1414"/>
      <c r="AB585" s="1414"/>
      <c r="AC585" s="1414"/>
      <c r="AD585" s="1414"/>
      <c r="AE585" s="1414"/>
      <c r="AF585" s="1414"/>
      <c r="AG585" s="1414"/>
      <c r="AH585" s="1414"/>
      <c r="AI585" s="1414"/>
      <c r="AJ585" s="1414"/>
      <c r="AK585" s="1414"/>
      <c r="BB585" s="2"/>
      <c r="BC585" s="2"/>
    </row>
    <row r="586" spans="1:55" ht="13" customHeight="1">
      <c r="A586" s="17"/>
      <c r="B586" t="s">
        <v>1064</v>
      </c>
      <c r="G586" s="1369" t="s">
        <v>1435</v>
      </c>
      <c r="H586" s="1369"/>
      <c r="I586" s="1369"/>
      <c r="J586" s="1369"/>
      <c r="K586" s="1369"/>
      <c r="L586" s="1369"/>
      <c r="M586" s="1369"/>
      <c r="N586" s="1369"/>
      <c r="O586" s="1369"/>
      <c r="P586" s="1369"/>
      <c r="Q586" s="1369"/>
      <c r="R586" s="1369"/>
      <c r="T586" s="17"/>
      <c r="U586" t="s">
        <v>1064</v>
      </c>
      <c r="Z586" s="1369" t="s">
        <v>1136</v>
      </c>
      <c r="AA586" s="1369"/>
      <c r="AB586" s="1369"/>
      <c r="AC586" s="1369"/>
      <c r="AD586" s="1369"/>
      <c r="AE586" s="1369"/>
      <c r="AF586" s="1369"/>
      <c r="AG586" s="1369"/>
      <c r="AH586" s="1369"/>
      <c r="AI586" s="1369"/>
      <c r="AJ586" s="1369"/>
      <c r="AK586" s="1369"/>
      <c r="BB586" s="2"/>
      <c r="BC586" s="2"/>
    </row>
    <row r="587" spans="1:55" ht="13" customHeight="1">
      <c r="A587" s="17"/>
      <c r="B587" t="s">
        <v>932</v>
      </c>
      <c r="G587" s="1369" t="s">
        <v>1127</v>
      </c>
      <c r="H587" s="1369"/>
      <c r="I587" s="1369"/>
      <c r="J587" s="1369"/>
      <c r="K587" s="1369"/>
      <c r="L587" s="1369"/>
      <c r="M587" s="1369"/>
      <c r="N587" s="1369"/>
      <c r="O587" s="1369"/>
      <c r="P587" s="1369"/>
      <c r="Q587" s="1369"/>
      <c r="R587" s="1369"/>
      <c r="T587" s="17"/>
      <c r="U587" t="s">
        <v>932</v>
      </c>
      <c r="Z587" s="1322"/>
      <c r="AA587" s="1322"/>
      <c r="AB587" s="1322"/>
      <c r="AC587" s="1322"/>
      <c r="AD587" s="1322"/>
      <c r="AE587" s="1322"/>
      <c r="AF587" s="1322"/>
      <c r="AG587" s="1322"/>
      <c r="AH587" s="1322"/>
      <c r="AI587" s="1322"/>
      <c r="AJ587" s="1322"/>
      <c r="AK587" s="1322"/>
      <c r="BB587" s="2"/>
      <c r="BC587" s="2"/>
    </row>
    <row r="588" spans="1:55" ht="13" customHeight="1">
      <c r="A588" s="17"/>
      <c r="B588" t="s">
        <v>1422</v>
      </c>
      <c r="G588" s="1369" t="s">
        <v>1436</v>
      </c>
      <c r="H588" s="1369"/>
      <c r="I588" s="1369"/>
      <c r="J588" s="1369"/>
      <c r="K588" s="1369"/>
      <c r="L588" s="1369"/>
      <c r="M588" s="1369"/>
      <c r="N588" s="1369"/>
      <c r="O588" s="1369"/>
      <c r="P588" s="1369"/>
      <c r="Q588" s="1369"/>
      <c r="R588" s="1369"/>
      <c r="T588" s="17"/>
      <c r="U588" t="s">
        <v>1422</v>
      </c>
      <c r="Z588" s="1322"/>
      <c r="AA588" s="1322"/>
      <c r="AB588" s="1322"/>
      <c r="AC588" s="1322"/>
      <c r="AD588" s="1322"/>
      <c r="AE588" s="1322"/>
      <c r="AF588" s="1322"/>
      <c r="AG588" s="1322"/>
      <c r="AH588" s="1322"/>
      <c r="AI588" s="1322"/>
      <c r="AJ588" s="1322"/>
      <c r="AK588" s="1322"/>
    </row>
    <row r="589" spans="1:55" ht="13" customHeight="1">
      <c r="A589" s="17"/>
      <c r="B589" t="s">
        <v>826</v>
      </c>
      <c r="G589" s="1421" t="s">
        <v>1437</v>
      </c>
      <c r="H589" s="1421"/>
      <c r="I589" s="1421"/>
      <c r="J589" s="1421"/>
      <c r="K589" s="1421"/>
      <c r="L589" s="1421"/>
      <c r="O589" s="815" t="s">
        <v>1072</v>
      </c>
      <c r="P589" s="1370"/>
      <c r="Q589" s="1370"/>
      <c r="R589" s="1370"/>
      <c r="T589" s="17"/>
      <c r="U589" t="s">
        <v>826</v>
      </c>
      <c r="Z589" s="1421"/>
      <c r="AA589" s="1421"/>
      <c r="AB589" s="1421"/>
      <c r="AC589" s="1421"/>
      <c r="AD589" s="1421"/>
      <c r="AE589" s="1421"/>
      <c r="AH589" s="815" t="s">
        <v>1072</v>
      </c>
      <c r="AI589" s="1370"/>
      <c r="AJ589" s="1370"/>
      <c r="AK589" s="1370"/>
      <c r="AZ589" s="2"/>
      <c r="BA589" s="2"/>
      <c r="BB589" s="2"/>
      <c r="BC589" s="2"/>
    </row>
    <row r="590" spans="1:55" ht="13" customHeight="1">
      <c r="A590" s="17"/>
      <c r="B590" t="s">
        <v>1425</v>
      </c>
      <c r="H590" s="1369" t="s">
        <v>1438</v>
      </c>
      <c r="I590" s="1369"/>
      <c r="J590" s="1369"/>
      <c r="K590" s="1369"/>
      <c r="L590" s="1369"/>
      <c r="M590" s="1369"/>
      <c r="N590" s="1369"/>
      <c r="O590" s="1369"/>
      <c r="P590" s="1369"/>
      <c r="Q590" s="1369"/>
      <c r="R590" s="1369"/>
      <c r="T590" s="17"/>
      <c r="U590" t="s">
        <v>1425</v>
      </c>
      <c r="AA590" s="1369"/>
      <c r="AB590" s="1369"/>
      <c r="AC590" s="1369"/>
      <c r="AD590" s="1369"/>
      <c r="AE590" s="1369"/>
      <c r="AF590" s="1369"/>
      <c r="AG590" s="1369"/>
      <c r="AH590" s="1369"/>
      <c r="AI590" s="1369"/>
      <c r="AJ590" s="1369"/>
      <c r="AK590" s="1369"/>
      <c r="AZ590" s="2"/>
      <c r="BA590" s="2"/>
      <c r="BB590" s="2"/>
      <c r="BC590" s="2"/>
    </row>
    <row r="591" spans="1:55" ht="13" customHeight="1">
      <c r="A591" s="17"/>
      <c r="B591" t="s">
        <v>1429</v>
      </c>
      <c r="N591" s="1353" t="s">
        <v>847</v>
      </c>
      <c r="O591" s="1353"/>
      <c r="T591" s="17"/>
      <c r="U591" t="s">
        <v>1429</v>
      </c>
      <c r="AG591" s="1353" t="s">
        <v>847</v>
      </c>
      <c r="AH591" s="1353"/>
      <c r="AZ591" s="2"/>
      <c r="BA591" s="2"/>
      <c r="BB591" s="2"/>
      <c r="BC591" s="2"/>
    </row>
    <row r="592" spans="1:55" ht="13" customHeight="1">
      <c r="A592" s="17"/>
      <c r="T592" s="17"/>
      <c r="AZ592" s="2"/>
      <c r="BA592" s="2"/>
      <c r="BB592" s="2"/>
      <c r="BC592" s="2"/>
    </row>
    <row r="593" spans="1:55" ht="13" customHeight="1">
      <c r="A593" s="36" t="s">
        <v>1409</v>
      </c>
      <c r="B593" t="s">
        <v>1419</v>
      </c>
      <c r="G593" s="1414" t="str">
        <f>C560</f>
        <v>Deferred Developer Fee</v>
      </c>
      <c r="H593" s="1414"/>
      <c r="I593" s="1414"/>
      <c r="J593" s="1414"/>
      <c r="K593" s="1414"/>
      <c r="L593" s="1414"/>
      <c r="M593" s="1414"/>
      <c r="N593" s="1414"/>
      <c r="O593" s="1414"/>
      <c r="P593" s="1414"/>
      <c r="Q593" s="1414"/>
      <c r="R593" s="1414"/>
      <c r="T593" s="36" t="s">
        <v>1411</v>
      </c>
      <c r="U593" t="s">
        <v>1419</v>
      </c>
      <c r="Z593" s="1414" t="str">
        <f>C561</f>
        <v>LP Equity</v>
      </c>
      <c r="AA593" s="1414"/>
      <c r="AB593" s="1414"/>
      <c r="AC593" s="1414"/>
      <c r="AD593" s="1414"/>
      <c r="AE593" s="1414"/>
      <c r="AF593" s="1414"/>
      <c r="AG593" s="1414"/>
      <c r="AH593" s="1414"/>
      <c r="AI593" s="1414"/>
      <c r="AJ593" s="1414"/>
      <c r="AK593" s="1414"/>
      <c r="AZ593" s="2"/>
      <c r="BA593" s="2"/>
      <c r="BB593" s="2"/>
      <c r="BC593" s="2"/>
    </row>
    <row r="594" spans="1:55" s="3" customFormat="1" ht="13" customHeight="1">
      <c r="A594" s="17"/>
      <c r="B594" t="s">
        <v>1064</v>
      </c>
      <c r="C594"/>
      <c r="D594"/>
      <c r="E594"/>
      <c r="F594"/>
      <c r="G594" s="1369" t="s">
        <v>1112</v>
      </c>
      <c r="H594" s="1369"/>
      <c r="I594" s="1369"/>
      <c r="J594" s="1369"/>
      <c r="K594" s="1369"/>
      <c r="L594" s="1369"/>
      <c r="M594" s="1369"/>
      <c r="N594" s="1369"/>
      <c r="O594" s="1369"/>
      <c r="P594" s="1369"/>
      <c r="Q594" s="1369"/>
      <c r="R594" s="1369"/>
      <c r="S594"/>
      <c r="T594" s="17"/>
      <c r="U594" t="s">
        <v>1064</v>
      </c>
      <c r="V594"/>
      <c r="W594"/>
      <c r="X594"/>
      <c r="Y594"/>
      <c r="Z594" s="1369" t="s">
        <v>1136</v>
      </c>
      <c r="AA594" s="1369"/>
      <c r="AB594" s="1369"/>
      <c r="AC594" s="1369"/>
      <c r="AD594" s="1369"/>
      <c r="AE594" s="1369"/>
      <c r="AF594" s="1369"/>
      <c r="AG594" s="1369"/>
      <c r="AH594" s="1369"/>
      <c r="AI594" s="1369"/>
      <c r="AJ594" s="1369"/>
      <c r="AK594" s="1369"/>
      <c r="AL594"/>
      <c r="AM594"/>
      <c r="AN594"/>
      <c r="AO594"/>
      <c r="AP594"/>
      <c r="AQ594"/>
      <c r="AR594"/>
      <c r="AS594"/>
      <c r="AT594"/>
      <c r="AU594"/>
      <c r="AV594"/>
      <c r="AW594"/>
      <c r="AX594"/>
      <c r="AY594"/>
      <c r="AZ594" s="2"/>
      <c r="BA594" s="2"/>
      <c r="BB594" s="2"/>
      <c r="BC594" s="2"/>
    </row>
    <row r="595" spans="1:55" s="3" customFormat="1" ht="13" customHeight="1">
      <c r="A595" s="17"/>
      <c r="B595" t="s">
        <v>932</v>
      </c>
      <c r="C595"/>
      <c r="D595"/>
      <c r="E595"/>
      <c r="F595"/>
      <c r="G595" s="1369" t="s">
        <v>1125</v>
      </c>
      <c r="H595" s="1369"/>
      <c r="I595" s="1369"/>
      <c r="J595" s="1369"/>
      <c r="K595" s="1369"/>
      <c r="L595" s="1369"/>
      <c r="M595" s="1369"/>
      <c r="N595" s="1369"/>
      <c r="O595" s="1369"/>
      <c r="P595" s="1369"/>
      <c r="Q595" s="1369"/>
      <c r="R595" s="1369"/>
      <c r="S595"/>
      <c r="T595" s="17"/>
      <c r="U595" t="s">
        <v>932</v>
      </c>
      <c r="V595"/>
      <c r="W595"/>
      <c r="X595"/>
      <c r="Y595"/>
      <c r="Z595" s="1322"/>
      <c r="AA595" s="1322"/>
      <c r="AB595" s="1322"/>
      <c r="AC595" s="1322"/>
      <c r="AD595" s="1322"/>
      <c r="AE595" s="1322"/>
      <c r="AF595" s="1322"/>
      <c r="AG595" s="1322"/>
      <c r="AH595" s="1322"/>
      <c r="AI595" s="1322"/>
      <c r="AJ595" s="1322"/>
      <c r="AK595" s="1322"/>
      <c r="AL595"/>
      <c r="AM595"/>
      <c r="AN595"/>
      <c r="AO595"/>
      <c r="AP595"/>
      <c r="AQ595"/>
      <c r="AR595"/>
      <c r="AS595"/>
      <c r="AT595"/>
      <c r="AU595"/>
      <c r="AV595"/>
      <c r="AW595"/>
      <c r="AX595"/>
      <c r="AY595"/>
      <c r="AZ595" s="2"/>
      <c r="BA595" s="2"/>
      <c r="BB595" s="2"/>
      <c r="BC595" s="2"/>
    </row>
    <row r="596" spans="1:55" s="3" customFormat="1" ht="13" customHeight="1">
      <c r="A596" s="17"/>
      <c r="B596" t="s">
        <v>1422</v>
      </c>
      <c r="C596"/>
      <c r="D596"/>
      <c r="E596"/>
      <c r="F596"/>
      <c r="G596" s="1369" t="s">
        <v>1069</v>
      </c>
      <c r="H596" s="1369"/>
      <c r="I596" s="1369"/>
      <c r="J596" s="1369"/>
      <c r="K596" s="1369"/>
      <c r="L596" s="1369"/>
      <c r="M596" s="1369"/>
      <c r="N596" s="1369"/>
      <c r="O596" s="1369"/>
      <c r="P596" s="1369"/>
      <c r="Q596" s="1369"/>
      <c r="R596" s="1369"/>
      <c r="S596"/>
      <c r="T596" s="17"/>
      <c r="U596" t="s">
        <v>1422</v>
      </c>
      <c r="V596"/>
      <c r="W596"/>
      <c r="X596"/>
      <c r="Y596"/>
      <c r="Z596" s="1322"/>
      <c r="AA596" s="1322"/>
      <c r="AB596" s="1322"/>
      <c r="AC596" s="1322"/>
      <c r="AD596" s="1322"/>
      <c r="AE596" s="1322"/>
      <c r="AF596" s="1322"/>
      <c r="AG596" s="1322"/>
      <c r="AH596" s="1322"/>
      <c r="AI596" s="1322"/>
      <c r="AJ596" s="1322"/>
      <c r="AK596" s="1322"/>
      <c r="AL596"/>
      <c r="AM596"/>
      <c r="AN596"/>
      <c r="AO596"/>
      <c r="AP596"/>
      <c r="AQ596"/>
      <c r="AR596"/>
      <c r="AS596"/>
      <c r="AT596"/>
      <c r="AU596"/>
      <c r="AV596"/>
      <c r="AW596"/>
      <c r="AX596"/>
      <c r="AY596"/>
      <c r="AZ596" s="2"/>
      <c r="BA596" s="2"/>
      <c r="BB596" s="2"/>
      <c r="BC596" s="2"/>
    </row>
    <row r="597" spans="1:55" s="3" customFormat="1" ht="13" customHeight="1">
      <c r="A597" s="17"/>
      <c r="B597" t="s">
        <v>826</v>
      </c>
      <c r="C597"/>
      <c r="D597"/>
      <c r="E597"/>
      <c r="F597"/>
      <c r="G597" s="1421" t="s">
        <v>1071</v>
      </c>
      <c r="H597" s="1421"/>
      <c r="I597" s="1421"/>
      <c r="J597" s="1421"/>
      <c r="K597" s="1421"/>
      <c r="L597" s="1421"/>
      <c r="M597"/>
      <c r="N597"/>
      <c r="O597" s="815" t="s">
        <v>1072</v>
      </c>
      <c r="P597" s="1370"/>
      <c r="Q597" s="1370"/>
      <c r="R597" s="1370"/>
      <c r="S597"/>
      <c r="T597" s="17"/>
      <c r="U597" t="s">
        <v>826</v>
      </c>
      <c r="V597"/>
      <c r="W597"/>
      <c r="X597"/>
      <c r="Y597"/>
      <c r="Z597" s="1421"/>
      <c r="AA597" s="1421"/>
      <c r="AB597" s="1421"/>
      <c r="AC597" s="1421"/>
      <c r="AD597" s="1421"/>
      <c r="AE597" s="1421"/>
      <c r="AF597"/>
      <c r="AG597"/>
      <c r="AH597" s="815" t="s">
        <v>1072</v>
      </c>
      <c r="AI597" s="1370"/>
      <c r="AJ597" s="1370"/>
      <c r="AK597" s="1370"/>
      <c r="AL597"/>
      <c r="AM597"/>
      <c r="AN597"/>
      <c r="AO597"/>
      <c r="AP597"/>
      <c r="AQ597"/>
      <c r="AR597"/>
      <c r="AS597"/>
      <c r="AT597"/>
      <c r="AU597"/>
      <c r="AV597"/>
      <c r="AW597"/>
      <c r="AX597"/>
      <c r="AY597"/>
      <c r="AZ597" s="2"/>
      <c r="BA597" s="2"/>
      <c r="BB597" s="2"/>
      <c r="BC597" s="2"/>
    </row>
    <row r="598" spans="1:55" s="3" customFormat="1" ht="13" customHeight="1">
      <c r="A598" s="17"/>
      <c r="B598" t="s">
        <v>1425</v>
      </c>
      <c r="C598"/>
      <c r="D598"/>
      <c r="E598"/>
      <c r="F598"/>
      <c r="G598"/>
      <c r="H598" s="1369" t="s">
        <v>1410</v>
      </c>
      <c r="I598" s="1369"/>
      <c r="J598" s="1369"/>
      <c r="K598" s="1369"/>
      <c r="L598" s="1369"/>
      <c r="M598" s="1369"/>
      <c r="N598" s="1369"/>
      <c r="O598" s="1369"/>
      <c r="P598" s="1369"/>
      <c r="Q598" s="1369"/>
      <c r="R598" s="1369"/>
      <c r="S598"/>
      <c r="T598" s="17"/>
      <c r="U598" t="s">
        <v>1425</v>
      </c>
      <c r="V598"/>
      <c r="W598"/>
      <c r="X598"/>
      <c r="Y598"/>
      <c r="Z598"/>
      <c r="AA598" s="1369" t="s">
        <v>1439</v>
      </c>
      <c r="AB598" s="1369"/>
      <c r="AC598" s="1369"/>
      <c r="AD598" s="1369"/>
      <c r="AE598" s="1369"/>
      <c r="AF598" s="1369"/>
      <c r="AG598" s="1369"/>
      <c r="AH598" s="1369"/>
      <c r="AI598" s="1369"/>
      <c r="AJ598" s="1369"/>
      <c r="AK598" s="1369"/>
      <c r="AL598"/>
      <c r="AM598"/>
      <c r="AN598"/>
      <c r="AO598"/>
      <c r="AP598"/>
      <c r="AQ598"/>
      <c r="AR598"/>
      <c r="AS598"/>
      <c r="AT598"/>
      <c r="AU598"/>
      <c r="AV598"/>
      <c r="AW598"/>
      <c r="AX598"/>
      <c r="AY598"/>
      <c r="AZ598" s="2"/>
      <c r="BA598" s="2"/>
      <c r="BB598" s="2"/>
      <c r="BC598" s="2"/>
    </row>
    <row r="599" spans="1:55" ht="13" customHeight="1">
      <c r="A599" s="17"/>
      <c r="B599" t="s">
        <v>1429</v>
      </c>
      <c r="N599" s="1353" t="s">
        <v>847</v>
      </c>
      <c r="O599" s="1353"/>
      <c r="T599" s="17"/>
      <c r="U599" t="s">
        <v>1429</v>
      </c>
      <c r="AG599" s="1353" t="s">
        <v>695</v>
      </c>
      <c r="AH599" s="1353"/>
      <c r="BB599" s="2"/>
      <c r="BC599" s="2"/>
    </row>
    <row r="600" spans="1:55" ht="13" customHeight="1">
      <c r="A600" s="17"/>
      <c r="T600" s="17"/>
      <c r="BB600" s="2"/>
      <c r="BC600" s="2"/>
    </row>
    <row r="601" spans="1:55" ht="13" customHeight="1">
      <c r="A601" s="36" t="s">
        <v>1413</v>
      </c>
      <c r="B601" t="s">
        <v>1419</v>
      </c>
      <c r="G601" s="1414" t="str">
        <f>C562</f>
        <v>Donated Land</v>
      </c>
      <c r="H601" s="1414"/>
      <c r="I601" s="1414"/>
      <c r="J601" s="1414"/>
      <c r="K601" s="1414"/>
      <c r="L601" s="1414"/>
      <c r="M601" s="1414"/>
      <c r="N601" s="1414"/>
      <c r="O601" s="1414"/>
      <c r="P601" s="1414"/>
      <c r="Q601" s="1414"/>
      <c r="R601" s="1414"/>
      <c r="T601" s="36" t="s">
        <v>1415</v>
      </c>
      <c r="U601" t="s">
        <v>1419</v>
      </c>
      <c r="Z601" s="1414">
        <f>C563</f>
        <v>0</v>
      </c>
      <c r="AA601" s="1414"/>
      <c r="AB601" s="1414"/>
      <c r="AC601" s="1414"/>
      <c r="AD601" s="1414"/>
      <c r="AE601" s="1414"/>
      <c r="AF601" s="1414"/>
      <c r="AG601" s="1414"/>
      <c r="AH601" s="1414"/>
      <c r="AI601" s="1414"/>
      <c r="AJ601" s="1414"/>
      <c r="AK601" s="1414"/>
      <c r="BB601" s="2"/>
      <c r="BC601" s="2"/>
    </row>
    <row r="602" spans="1:55" ht="13" customHeight="1">
      <c r="A602" s="17"/>
      <c r="B602" t="s">
        <v>1064</v>
      </c>
      <c r="G602" s="1369" t="s">
        <v>1440</v>
      </c>
      <c r="H602" s="1369"/>
      <c r="I602" s="1369"/>
      <c r="J602" s="1369"/>
      <c r="K602" s="1369"/>
      <c r="L602" s="1369"/>
      <c r="M602" s="1369"/>
      <c r="N602" s="1369"/>
      <c r="O602" s="1369"/>
      <c r="P602" s="1369"/>
      <c r="Q602" s="1369"/>
      <c r="R602" s="1369"/>
      <c r="T602" s="17"/>
      <c r="U602" t="s">
        <v>1064</v>
      </c>
      <c r="Z602" s="1369"/>
      <c r="AA602" s="1369"/>
      <c r="AB602" s="1369"/>
      <c r="AC602" s="1369"/>
      <c r="AD602" s="1369"/>
      <c r="AE602" s="1369"/>
      <c r="AF602" s="1369"/>
      <c r="AG602" s="1369"/>
      <c r="AH602" s="1369"/>
      <c r="AI602" s="1369"/>
      <c r="AJ602" s="1369"/>
      <c r="AK602" s="1369"/>
      <c r="AZ602" s="2"/>
      <c r="BA602" s="2"/>
      <c r="BB602" s="2"/>
      <c r="BC602" s="2"/>
    </row>
    <row r="603" spans="1:55" ht="13" customHeight="1">
      <c r="A603" s="17"/>
      <c r="B603" t="s">
        <v>932</v>
      </c>
      <c r="G603" s="1369" t="s">
        <v>1441</v>
      </c>
      <c r="H603" s="1369"/>
      <c r="I603" s="1369"/>
      <c r="J603" s="1369"/>
      <c r="K603" s="1369"/>
      <c r="L603" s="1369"/>
      <c r="M603" s="1369"/>
      <c r="N603" s="1369"/>
      <c r="O603" s="1369"/>
      <c r="P603" s="1369"/>
      <c r="Q603" s="1369"/>
      <c r="R603" s="1369"/>
      <c r="T603" s="17"/>
      <c r="U603" t="s">
        <v>932</v>
      </c>
      <c r="Z603" s="1322"/>
      <c r="AA603" s="1322"/>
      <c r="AB603" s="1322"/>
      <c r="AC603" s="1322"/>
      <c r="AD603" s="1322"/>
      <c r="AE603" s="1322"/>
      <c r="AF603" s="1322"/>
      <c r="AG603" s="1322"/>
      <c r="AH603" s="1322"/>
      <c r="AI603" s="1322"/>
      <c r="AJ603" s="1322"/>
      <c r="AK603" s="1322"/>
      <c r="AZ603" s="2"/>
      <c r="BA603" s="2"/>
      <c r="BB603" s="2"/>
      <c r="BC603" s="2"/>
    </row>
    <row r="604" spans="1:55" ht="13" customHeight="1">
      <c r="A604" s="17"/>
      <c r="B604" t="s">
        <v>1422</v>
      </c>
      <c r="G604" s="1369" t="s">
        <v>1099</v>
      </c>
      <c r="H604" s="1369"/>
      <c r="I604" s="1369"/>
      <c r="J604" s="1369"/>
      <c r="K604" s="1369"/>
      <c r="L604" s="1369"/>
      <c r="M604" s="1369"/>
      <c r="N604" s="1369"/>
      <c r="O604" s="1369"/>
      <c r="P604" s="1369"/>
      <c r="Q604" s="1369"/>
      <c r="R604" s="1369"/>
      <c r="T604" s="17"/>
      <c r="U604" t="s">
        <v>1422</v>
      </c>
      <c r="Z604" s="1322"/>
      <c r="AA604" s="1322"/>
      <c r="AB604" s="1322"/>
      <c r="AC604" s="1322"/>
      <c r="AD604" s="1322"/>
      <c r="AE604" s="1322"/>
      <c r="AF604" s="1322"/>
      <c r="AG604" s="1322"/>
      <c r="AH604" s="1322"/>
      <c r="AI604" s="1322"/>
      <c r="AJ604" s="1322"/>
      <c r="AK604" s="1322"/>
      <c r="AZ604" s="2"/>
      <c r="BA604" s="2"/>
      <c r="BB604" s="2"/>
      <c r="BC604" s="2"/>
    </row>
    <row r="605" spans="1:55" s="3" customFormat="1" ht="13" customHeight="1">
      <c r="A605" s="17"/>
      <c r="B605" t="s">
        <v>826</v>
      </c>
      <c r="C605"/>
      <c r="D605"/>
      <c r="E605"/>
      <c r="F605"/>
      <c r="G605" s="1421" t="s">
        <v>1100</v>
      </c>
      <c r="H605" s="1421"/>
      <c r="I605" s="1421"/>
      <c r="J605" s="1421"/>
      <c r="K605" s="1421"/>
      <c r="L605" s="1421"/>
      <c r="M605"/>
      <c r="N605"/>
      <c r="O605" s="815" t="s">
        <v>1072</v>
      </c>
      <c r="P605" s="1370"/>
      <c r="Q605" s="1370"/>
      <c r="R605" s="1370"/>
      <c r="S605"/>
      <c r="T605" s="17"/>
      <c r="U605" t="s">
        <v>826</v>
      </c>
      <c r="V605"/>
      <c r="W605"/>
      <c r="X605"/>
      <c r="Y605"/>
      <c r="Z605" s="1421"/>
      <c r="AA605" s="1421"/>
      <c r="AB605" s="1421"/>
      <c r="AC605" s="1421"/>
      <c r="AD605" s="1421"/>
      <c r="AE605" s="1421"/>
      <c r="AF605"/>
      <c r="AG605"/>
      <c r="AH605" s="815" t="s">
        <v>1072</v>
      </c>
      <c r="AI605" s="1370"/>
      <c r="AJ605" s="1370"/>
      <c r="AK605" s="1370"/>
      <c r="AL605"/>
      <c r="AM605"/>
      <c r="AN605"/>
      <c r="AO605"/>
      <c r="AP605"/>
      <c r="AQ605"/>
      <c r="AR605"/>
      <c r="AS605"/>
      <c r="AT605"/>
      <c r="AU605"/>
      <c r="AV605"/>
      <c r="AW605"/>
      <c r="AX605"/>
      <c r="AY605"/>
      <c r="AZ605" s="2"/>
      <c r="BA605" s="2"/>
      <c r="BB605" s="2"/>
      <c r="BC605" s="2"/>
    </row>
    <row r="606" spans="1:55" s="3" customFormat="1" ht="13" customHeight="1">
      <c r="A606" s="17"/>
      <c r="B606" t="s">
        <v>1425</v>
      </c>
      <c r="C606"/>
      <c r="D606"/>
      <c r="E606"/>
      <c r="F606"/>
      <c r="G606"/>
      <c r="H606" s="1369"/>
      <c r="I606" s="1369"/>
      <c r="J606" s="1369"/>
      <c r="K606" s="1369"/>
      <c r="L606" s="1369"/>
      <c r="M606" s="1369"/>
      <c r="N606" s="1369"/>
      <c r="O606" s="1369"/>
      <c r="P606" s="1369"/>
      <c r="Q606" s="1369"/>
      <c r="R606" s="1369"/>
      <c r="S606"/>
      <c r="T606" s="17"/>
      <c r="U606" t="s">
        <v>1425</v>
      </c>
      <c r="V606"/>
      <c r="W606"/>
      <c r="X606"/>
      <c r="Y606"/>
      <c r="Z606"/>
      <c r="AA606" s="1369"/>
      <c r="AB606" s="1369"/>
      <c r="AC606" s="1369"/>
      <c r="AD606" s="1369"/>
      <c r="AE606" s="1369"/>
      <c r="AF606" s="1369"/>
      <c r="AG606" s="1369"/>
      <c r="AH606" s="1369"/>
      <c r="AI606" s="1369"/>
      <c r="AJ606" s="1369"/>
      <c r="AK606" s="1369"/>
      <c r="AL606"/>
      <c r="AM606"/>
      <c r="AN606"/>
      <c r="AO606"/>
      <c r="AP606"/>
      <c r="AQ606"/>
      <c r="AR606"/>
      <c r="AS606"/>
      <c r="AT606"/>
      <c r="AU606"/>
      <c r="AV606"/>
      <c r="AW606"/>
      <c r="AX606"/>
      <c r="AY606"/>
      <c r="AZ606" s="2"/>
      <c r="BA606" s="2"/>
      <c r="BB606" s="2"/>
      <c r="BC606" s="2"/>
    </row>
    <row r="607" spans="1:55" s="3" customFormat="1" ht="13" customHeight="1">
      <c r="A607" s="17"/>
      <c r="B607" t="s">
        <v>1429</v>
      </c>
      <c r="C607"/>
      <c r="D607"/>
      <c r="E607"/>
      <c r="F607"/>
      <c r="G607"/>
      <c r="H607"/>
      <c r="I607"/>
      <c r="J607"/>
      <c r="K607"/>
      <c r="L607"/>
      <c r="M607"/>
      <c r="N607" s="1353" t="s">
        <v>847</v>
      </c>
      <c r="O607" s="1353"/>
      <c r="P607"/>
      <c r="Q607"/>
      <c r="R607"/>
      <c r="S607"/>
      <c r="T607" s="17"/>
      <c r="U607" t="s">
        <v>1429</v>
      </c>
      <c r="V607"/>
      <c r="W607"/>
      <c r="X607"/>
      <c r="Y607"/>
      <c r="Z607"/>
      <c r="AA607"/>
      <c r="AB607"/>
      <c r="AC607"/>
      <c r="AD607"/>
      <c r="AE607"/>
      <c r="AF607"/>
      <c r="AG607" s="1353" t="s">
        <v>695</v>
      </c>
      <c r="AH607" s="1353"/>
      <c r="AI607"/>
      <c r="AJ607"/>
      <c r="AK607"/>
      <c r="AL607"/>
      <c r="AM607"/>
      <c r="AN607"/>
      <c r="AO607"/>
      <c r="AP607"/>
      <c r="AQ607"/>
      <c r="AR607"/>
      <c r="AS607"/>
      <c r="AT607"/>
      <c r="AU607"/>
      <c r="AV607"/>
      <c r="AW607"/>
      <c r="AX607"/>
      <c r="AY607"/>
      <c r="AZ607" s="2"/>
      <c r="BA607" s="2"/>
      <c r="BB607" s="2"/>
      <c r="BC607" s="2"/>
    </row>
    <row r="608" spans="1:55" ht="13" customHeight="1">
      <c r="A608" s="17"/>
      <c r="T608" s="17"/>
      <c r="AZ608" s="2"/>
      <c r="BA608" s="2"/>
      <c r="BB608" s="2"/>
      <c r="BC608" s="2"/>
    </row>
    <row r="609" spans="1:55" ht="13" customHeight="1">
      <c r="A609" s="36" t="s">
        <v>1416</v>
      </c>
      <c r="B609" t="s">
        <v>1419</v>
      </c>
      <c r="G609" s="1414">
        <f>C564</f>
        <v>0</v>
      </c>
      <c r="H609" s="1414"/>
      <c r="I609" s="1414"/>
      <c r="J609" s="1414"/>
      <c r="K609" s="1414"/>
      <c r="L609" s="1414"/>
      <c r="M609" s="1414"/>
      <c r="N609" s="1414"/>
      <c r="O609" s="1414"/>
      <c r="P609" s="1414"/>
      <c r="Q609" s="1414"/>
      <c r="R609" s="1414"/>
      <c r="T609" s="36" t="s">
        <v>1417</v>
      </c>
      <c r="U609" t="s">
        <v>1419</v>
      </c>
      <c r="Z609" s="1414">
        <f>C565</f>
        <v>0</v>
      </c>
      <c r="AA609" s="1414"/>
      <c r="AB609" s="1414"/>
      <c r="AC609" s="1414"/>
      <c r="AD609" s="1414"/>
      <c r="AE609" s="1414"/>
      <c r="AF609" s="1414"/>
      <c r="AG609" s="1414"/>
      <c r="AH609" s="1414"/>
      <c r="AI609" s="1414"/>
      <c r="AJ609" s="1414"/>
      <c r="AK609" s="1414"/>
      <c r="AZ609" s="2"/>
      <c r="BA609" s="2"/>
      <c r="BB609" s="2"/>
      <c r="BC609" s="2"/>
    </row>
    <row r="610" spans="1:55" ht="13" customHeight="1">
      <c r="B610" t="s">
        <v>1064</v>
      </c>
      <c r="G610" s="1369"/>
      <c r="H610" s="1369"/>
      <c r="I610" s="1369"/>
      <c r="J610" s="1369"/>
      <c r="K610" s="1369"/>
      <c r="L610" s="1369"/>
      <c r="M610" s="1369"/>
      <c r="N610" s="1369"/>
      <c r="O610" s="1369"/>
      <c r="P610" s="1369"/>
      <c r="Q610" s="1369"/>
      <c r="R610" s="1369"/>
      <c r="U610" t="s">
        <v>1064</v>
      </c>
      <c r="Z610" s="1369"/>
      <c r="AA610" s="1369"/>
      <c r="AB610" s="1369"/>
      <c r="AC610" s="1369"/>
      <c r="AD610" s="1369"/>
      <c r="AE610" s="1369"/>
      <c r="AF610" s="1369"/>
      <c r="AG610" s="1369"/>
      <c r="AH610" s="1369"/>
      <c r="AI610" s="1369"/>
      <c r="AJ610" s="1369"/>
      <c r="AK610" s="1369"/>
      <c r="AZ610" s="2"/>
      <c r="BA610" s="2"/>
      <c r="BB610" s="2"/>
      <c r="BC610" s="2"/>
    </row>
    <row r="611" spans="1:55" ht="13" customHeight="1">
      <c r="B611" t="s">
        <v>932</v>
      </c>
      <c r="G611" s="1369"/>
      <c r="H611" s="1369"/>
      <c r="I611" s="1369"/>
      <c r="J611" s="1369"/>
      <c r="K611" s="1369"/>
      <c r="L611" s="1369"/>
      <c r="M611" s="1369"/>
      <c r="N611" s="1369"/>
      <c r="O611" s="1369"/>
      <c r="P611" s="1369"/>
      <c r="Q611" s="1369"/>
      <c r="R611" s="1369"/>
      <c r="U611" t="s">
        <v>932</v>
      </c>
      <c r="Z611" s="1322"/>
      <c r="AA611" s="1322"/>
      <c r="AB611" s="1322"/>
      <c r="AC611" s="1322"/>
      <c r="AD611" s="1322"/>
      <c r="AE611" s="1322"/>
      <c r="AF611" s="1322"/>
      <c r="AG611" s="1322"/>
      <c r="AH611" s="1322"/>
      <c r="AI611" s="1322"/>
      <c r="AJ611" s="1322"/>
      <c r="AK611" s="1322"/>
      <c r="AZ611" s="2"/>
      <c r="BA611" s="2"/>
      <c r="BB611" s="2"/>
      <c r="BC611" s="2"/>
    </row>
    <row r="612" spans="1:55" ht="13" customHeight="1">
      <c r="B612" t="s">
        <v>1422</v>
      </c>
      <c r="G612" s="1369"/>
      <c r="H612" s="1369"/>
      <c r="I612" s="1369"/>
      <c r="J612" s="1369"/>
      <c r="K612" s="1369"/>
      <c r="L612" s="1369"/>
      <c r="M612" s="1369"/>
      <c r="N612" s="1369"/>
      <c r="O612" s="1369"/>
      <c r="P612" s="1369"/>
      <c r="Q612" s="1369"/>
      <c r="R612" s="1369"/>
      <c r="U612" t="s">
        <v>1422</v>
      </c>
      <c r="Z612" s="1322"/>
      <c r="AA612" s="1322"/>
      <c r="AB612" s="1322"/>
      <c r="AC612" s="1322"/>
      <c r="AD612" s="1322"/>
      <c r="AE612" s="1322"/>
      <c r="AF612" s="1322"/>
      <c r="AG612" s="1322"/>
      <c r="AH612" s="1322"/>
      <c r="AI612" s="1322"/>
      <c r="AJ612" s="1322"/>
      <c r="AK612" s="1322"/>
      <c r="AZ612" s="2"/>
      <c r="BA612" s="2"/>
      <c r="BB612" s="2"/>
      <c r="BC612" s="2"/>
    </row>
    <row r="613" spans="1:55" ht="13" customHeight="1">
      <c r="B613" t="s">
        <v>826</v>
      </c>
      <c r="G613" s="1421"/>
      <c r="H613" s="1421"/>
      <c r="I613" s="1421"/>
      <c r="J613" s="1421"/>
      <c r="K613" s="1421"/>
      <c r="L613" s="1421"/>
      <c r="O613" s="815" t="s">
        <v>1072</v>
      </c>
      <c r="P613" s="1370"/>
      <c r="Q613" s="1370"/>
      <c r="R613" s="1370"/>
      <c r="U613" t="s">
        <v>826</v>
      </c>
      <c r="Z613" s="1421"/>
      <c r="AA613" s="1421"/>
      <c r="AB613" s="1421"/>
      <c r="AC613" s="1421"/>
      <c r="AD613" s="1421"/>
      <c r="AE613" s="1421"/>
      <c r="AH613" s="815" t="s">
        <v>1072</v>
      </c>
      <c r="AI613" s="1370"/>
      <c r="AJ613" s="1370"/>
      <c r="AK613" s="1370"/>
      <c r="AZ613" s="2"/>
      <c r="BA613" s="2"/>
      <c r="BB613" s="2"/>
      <c r="BC613" s="2"/>
    </row>
    <row r="614" spans="1:55" ht="13" customHeight="1">
      <c r="B614" t="s">
        <v>1425</v>
      </c>
      <c r="H614" s="1369"/>
      <c r="I614" s="1369"/>
      <c r="J614" s="1369"/>
      <c r="K614" s="1369"/>
      <c r="L614" s="1369"/>
      <c r="M614" s="1369"/>
      <c r="N614" s="1369"/>
      <c r="O614" s="1369"/>
      <c r="P614" s="1369"/>
      <c r="Q614" s="1369"/>
      <c r="R614" s="1369"/>
      <c r="U614" t="s">
        <v>1425</v>
      </c>
      <c r="AA614" s="1369"/>
      <c r="AB614" s="1369"/>
      <c r="AC614" s="1369"/>
      <c r="AD614" s="1369"/>
      <c r="AE614" s="1369"/>
      <c r="AF614" s="1369"/>
      <c r="AG614" s="1369"/>
      <c r="AH614" s="1369"/>
      <c r="AI614" s="1369"/>
      <c r="AJ614" s="1369"/>
      <c r="AK614" s="1369"/>
      <c r="AU614" s="710"/>
      <c r="AV614" s="710"/>
      <c r="AW614" s="710"/>
      <c r="AX614" s="710"/>
      <c r="AY614" s="710"/>
      <c r="AZ614" s="2"/>
      <c r="BA614" s="2"/>
      <c r="BB614" s="2"/>
      <c r="BC614" s="2"/>
    </row>
    <row r="615" spans="1:55" ht="13" customHeight="1">
      <c r="B615" t="s">
        <v>1429</v>
      </c>
      <c r="N615" s="1353" t="s">
        <v>695</v>
      </c>
      <c r="O615" s="1353"/>
      <c r="U615" t="s">
        <v>1429</v>
      </c>
      <c r="AG615" s="1353" t="s">
        <v>695</v>
      </c>
      <c r="AH615" s="1353"/>
      <c r="AU615" s="710"/>
      <c r="AV615" s="710"/>
      <c r="AW615" s="710"/>
      <c r="AX615" s="710"/>
      <c r="AY615" s="710"/>
      <c r="AZ615" s="2"/>
      <c r="BA615" s="2"/>
      <c r="BB615" s="2"/>
      <c r="BC615" s="2"/>
    </row>
    <row r="616" spans="1:55" ht="13" customHeight="1">
      <c r="AZ616" s="2"/>
      <c r="BA616" s="2"/>
      <c r="BB616" s="2"/>
      <c r="BC616" s="2"/>
    </row>
    <row r="617" spans="1:55" ht="13" customHeight="1">
      <c r="A617" s="1227" t="s">
        <v>1442</v>
      </c>
      <c r="B617" s="1227"/>
      <c r="C617" s="1227"/>
      <c r="D617" s="1227"/>
      <c r="E617" s="1227"/>
      <c r="F617" s="1227"/>
      <c r="G617" s="1227"/>
      <c r="H617" s="1227"/>
      <c r="I617" s="1227"/>
      <c r="J617" s="1227"/>
      <c r="K617" s="1227"/>
      <c r="L617" s="1227"/>
      <c r="M617" s="1227"/>
      <c r="N617" s="1227"/>
      <c r="O617" s="1227"/>
      <c r="P617" s="1227"/>
      <c r="Q617" s="1227"/>
      <c r="R617" s="1227"/>
      <c r="S617" s="1227"/>
      <c r="T617" s="1227"/>
      <c r="U617" s="1227"/>
      <c r="V617" s="1227"/>
      <c r="W617" s="1227"/>
      <c r="X617" s="1227"/>
      <c r="Y617" s="1227"/>
      <c r="Z617" s="1227"/>
      <c r="AA617" s="1227"/>
      <c r="AB617" s="1227"/>
      <c r="AC617" s="1227"/>
      <c r="AD617" s="1227"/>
      <c r="AE617" s="1227"/>
      <c r="AF617" s="1227"/>
      <c r="AG617" s="1227"/>
      <c r="AH617" s="1227"/>
      <c r="AI617" s="1227"/>
      <c r="AJ617" s="1227"/>
      <c r="AK617" s="1227"/>
      <c r="AL617" s="1227"/>
      <c r="AM617" s="1227"/>
      <c r="AN617" s="1227"/>
      <c r="AO617" s="1227"/>
      <c r="AP617" s="1227"/>
      <c r="AQ617" s="1227"/>
      <c r="AR617" s="1227"/>
      <c r="AS617" s="1227"/>
      <c r="AT617" s="1227"/>
      <c r="AZ617" s="2"/>
      <c r="BA617" s="2"/>
      <c r="BB617" s="2"/>
      <c r="BC617" s="2"/>
    </row>
    <row r="618" spans="1:55" ht="13" customHeight="1">
      <c r="A618" s="1227"/>
      <c r="B618" s="1227"/>
      <c r="C618" s="1227"/>
      <c r="D618" s="1227"/>
      <c r="E618" s="1227"/>
      <c r="F618" s="1227"/>
      <c r="G618" s="1227"/>
      <c r="H618" s="1227"/>
      <c r="I618" s="1227"/>
      <c r="J618" s="1227"/>
      <c r="K618" s="1227"/>
      <c r="L618" s="1227"/>
      <c r="M618" s="1227"/>
      <c r="N618" s="1227"/>
      <c r="O618" s="1227"/>
      <c r="P618" s="1227"/>
      <c r="Q618" s="1227"/>
      <c r="R618" s="1227"/>
      <c r="S618" s="1227"/>
      <c r="T618" s="1227"/>
      <c r="U618" s="1227"/>
      <c r="V618" s="1227"/>
      <c r="W618" s="1227"/>
      <c r="X618" s="1227"/>
      <c r="Y618" s="1227"/>
      <c r="Z618" s="1227"/>
      <c r="AA618" s="1227"/>
      <c r="AB618" s="1227"/>
      <c r="AC618" s="1227"/>
      <c r="AD618" s="1227"/>
      <c r="AE618" s="1227"/>
      <c r="AF618" s="1227"/>
      <c r="AG618" s="1227"/>
      <c r="AH618" s="1227"/>
      <c r="AI618" s="1227"/>
      <c r="AJ618" s="1227"/>
      <c r="AK618" s="1227"/>
      <c r="AL618" s="1227"/>
      <c r="AM618" s="1227"/>
      <c r="AN618" s="1227"/>
      <c r="AO618" s="1227"/>
      <c r="AP618" s="1227"/>
      <c r="AQ618" s="1227"/>
      <c r="AR618" s="1227"/>
      <c r="AS618" s="1227"/>
      <c r="AT618" s="1227"/>
      <c r="AZ618" s="2"/>
      <c r="BA618" s="2"/>
      <c r="BB618" s="2"/>
      <c r="BC618" s="2"/>
    </row>
    <row r="619" spans="1:55" ht="13" customHeight="1">
      <c r="AZ619" s="2"/>
      <c r="BA619" s="2"/>
      <c r="BB619" s="2"/>
      <c r="BC619" s="2"/>
    </row>
    <row r="620" spans="1:55" ht="13" customHeight="1">
      <c r="A620" s="1" t="s">
        <v>872</v>
      </c>
      <c r="B620" s="1"/>
      <c r="C620" s="1" t="s">
        <v>175</v>
      </c>
      <c r="AZ620" s="2"/>
      <c r="BA620" s="2"/>
      <c r="BB620" s="2"/>
      <c r="BC620" s="2"/>
    </row>
    <row r="621" spans="1:55" ht="13" customHeight="1">
      <c r="A621" s="1"/>
      <c r="B621" s="1"/>
      <c r="C621" s="1"/>
      <c r="AZ621" s="2"/>
      <c r="BA621" s="2"/>
      <c r="BB621" s="2"/>
      <c r="BC621" s="2"/>
    </row>
    <row r="622" spans="1:55" ht="13" customHeight="1">
      <c r="C622" s="1" t="s">
        <v>1391</v>
      </c>
      <c r="AZ622" s="2"/>
      <c r="BA622" s="2"/>
      <c r="BB622" s="2"/>
      <c r="BC622" s="2"/>
    </row>
    <row r="623" spans="1:55" ht="13" customHeight="1">
      <c r="B623" s="363"/>
      <c r="C623" s="1"/>
      <c r="AU623" s="2"/>
      <c r="AZ623" s="2"/>
      <c r="BA623" s="2"/>
      <c r="BB623" s="2"/>
      <c r="BC623" s="2"/>
    </row>
    <row r="624" spans="1:55" ht="13" customHeight="1">
      <c r="B624" s="1594" t="s">
        <v>1392</v>
      </c>
      <c r="C624" s="1594"/>
      <c r="D624" s="1594"/>
      <c r="E624" s="1594"/>
      <c r="F624" s="1594"/>
      <c r="G624" s="1594"/>
      <c r="H624" s="1594"/>
      <c r="I624" s="1594"/>
      <c r="J624" s="1594"/>
      <c r="K624" s="1594"/>
      <c r="L624" s="1594"/>
      <c r="M624" s="1610" t="s">
        <v>1393</v>
      </c>
      <c r="N624" s="1610"/>
      <c r="O624" s="1610"/>
      <c r="P624" s="1610"/>
      <c r="Q624" s="1610" t="s">
        <v>1443</v>
      </c>
      <c r="R624" s="1610"/>
      <c r="S624" s="1610"/>
      <c r="T624" s="1610" t="s">
        <v>1444</v>
      </c>
      <c r="U624" s="1610"/>
      <c r="V624" s="1610"/>
      <c r="W624" s="1428" t="s">
        <v>1396</v>
      </c>
      <c r="X624" s="1428"/>
      <c r="Y624" s="1428"/>
      <c r="Z624" s="1345" t="s">
        <v>1445</v>
      </c>
      <c r="AA624" s="1345"/>
      <c r="AB624" s="1346"/>
      <c r="AC624" s="1611" t="s">
        <v>1398</v>
      </c>
      <c r="AD624" s="1612"/>
      <c r="AE624" s="1613"/>
      <c r="AF624" s="1344" t="s">
        <v>1446</v>
      </c>
      <c r="AG624" s="1345"/>
      <c r="AH624" s="1345"/>
      <c r="AI624" s="1345"/>
      <c r="AJ624" s="1346"/>
      <c r="AK624" s="1601" t="s">
        <v>1447</v>
      </c>
      <c r="AL624" s="1602"/>
      <c r="AM624" s="1602"/>
      <c r="AN624" s="1603"/>
      <c r="AO624" s="1610" t="s">
        <v>1400</v>
      </c>
      <c r="AP624" s="1610"/>
      <c r="AQ624" s="1610"/>
      <c r="AR624" s="1610"/>
      <c r="AS624" s="1610"/>
      <c r="AU624" s="2"/>
      <c r="AZ624" s="2"/>
      <c r="BA624" s="2"/>
      <c r="BB624" s="2"/>
      <c r="BC624" s="2"/>
    </row>
    <row r="625" spans="2:157" ht="13" customHeight="1">
      <c r="B625" s="1594"/>
      <c r="C625" s="1594"/>
      <c r="D625" s="1594"/>
      <c r="E625" s="1594"/>
      <c r="F625" s="1594"/>
      <c r="G625" s="1594"/>
      <c r="H625" s="1594"/>
      <c r="I625" s="1594"/>
      <c r="J625" s="1594"/>
      <c r="K625" s="1594"/>
      <c r="L625" s="1594"/>
      <c r="M625" s="1610"/>
      <c r="N625" s="1610"/>
      <c r="O625" s="1610"/>
      <c r="P625" s="1610"/>
      <c r="Q625" s="1610"/>
      <c r="R625" s="1610"/>
      <c r="S625" s="1610"/>
      <c r="T625" s="1610"/>
      <c r="U625" s="1610"/>
      <c r="V625" s="1610"/>
      <c r="W625" s="1428"/>
      <c r="X625" s="1428"/>
      <c r="Y625" s="1428"/>
      <c r="Z625" s="1348"/>
      <c r="AA625" s="1348"/>
      <c r="AB625" s="1349"/>
      <c r="AC625" s="1614"/>
      <c r="AD625" s="1615"/>
      <c r="AE625" s="1616"/>
      <c r="AF625" s="1347"/>
      <c r="AG625" s="1348"/>
      <c r="AH625" s="1348"/>
      <c r="AI625" s="1348"/>
      <c r="AJ625" s="1349"/>
      <c r="AK625" s="1604"/>
      <c r="AL625" s="1605"/>
      <c r="AM625" s="1605"/>
      <c r="AN625" s="1606"/>
      <c r="AO625" s="1610"/>
      <c r="AP625" s="1610"/>
      <c r="AQ625" s="1610"/>
      <c r="AR625" s="1610"/>
      <c r="AS625" s="1610"/>
      <c r="AU625" s="2"/>
      <c r="AZ625" s="2"/>
      <c r="BA625" s="2"/>
      <c r="BB625" s="2"/>
      <c r="BC625" s="2"/>
      <c r="BD625" s="2"/>
    </row>
    <row r="626" spans="2:157" ht="13" customHeight="1">
      <c r="B626" s="1594"/>
      <c r="C626" s="1594"/>
      <c r="D626" s="1594"/>
      <c r="E626" s="1594"/>
      <c r="F626" s="1594"/>
      <c r="G626" s="1594"/>
      <c r="H626" s="1594"/>
      <c r="I626" s="1594"/>
      <c r="J626" s="1594"/>
      <c r="K626" s="1594"/>
      <c r="L626" s="1594"/>
      <c r="M626" s="1610"/>
      <c r="N626" s="1610"/>
      <c r="O626" s="1610"/>
      <c r="P626" s="1610"/>
      <c r="Q626" s="1610"/>
      <c r="R626" s="1610"/>
      <c r="S626" s="1610"/>
      <c r="T626" s="1610"/>
      <c r="U626" s="1610"/>
      <c r="V626" s="1610"/>
      <c r="W626" s="1428"/>
      <c r="X626" s="1428"/>
      <c r="Y626" s="1428"/>
      <c r="Z626" s="1351"/>
      <c r="AA626" s="1351"/>
      <c r="AB626" s="1352"/>
      <c r="AC626" s="1617"/>
      <c r="AD626" s="1618"/>
      <c r="AE626" s="1619"/>
      <c r="AF626" s="1350"/>
      <c r="AG626" s="1351"/>
      <c r="AH626" s="1351"/>
      <c r="AI626" s="1351"/>
      <c r="AJ626" s="1352"/>
      <c r="AK626" s="1607"/>
      <c r="AL626" s="1608"/>
      <c r="AM626" s="1608"/>
      <c r="AN626" s="1609"/>
      <c r="AO626" s="1610"/>
      <c r="AP626" s="1610"/>
      <c r="AQ626" s="1610"/>
      <c r="AR626" s="1610"/>
      <c r="AS626" s="1610"/>
      <c r="AT626" s="2"/>
      <c r="AU626" s="2"/>
      <c r="AZ626" s="2"/>
      <c r="BA626" s="2"/>
      <c r="BB626" s="2"/>
      <c r="BC626" s="2"/>
      <c r="BD626" s="2"/>
    </row>
    <row r="627" spans="2:157" ht="13" customHeight="1">
      <c r="B627" s="34" t="s">
        <v>18</v>
      </c>
      <c r="C627" s="1426" t="s">
        <v>1448</v>
      </c>
      <c r="D627" s="1426"/>
      <c r="E627" s="1426"/>
      <c r="F627" s="1426"/>
      <c r="G627" s="1426"/>
      <c r="H627" s="1426"/>
      <c r="I627" s="1426"/>
      <c r="J627" s="1426"/>
      <c r="K627" s="1426"/>
      <c r="L627" s="1426"/>
      <c r="M627" s="1427" t="s">
        <v>1364</v>
      </c>
      <c r="N627" s="1427"/>
      <c r="O627" s="1427"/>
      <c r="P627" s="1427"/>
      <c r="Q627" s="1440">
        <v>17</v>
      </c>
      <c r="R627" s="1440"/>
      <c r="S627" s="1441"/>
      <c r="T627" s="1439">
        <v>17</v>
      </c>
      <c r="U627" s="1440"/>
      <c r="V627" s="1441"/>
      <c r="W627" s="1411">
        <v>7.0999999999999994E-2</v>
      </c>
      <c r="X627" s="1412"/>
      <c r="Y627" s="1413"/>
      <c r="Z627" s="1418" t="s">
        <v>1449</v>
      </c>
      <c r="AA627" s="1419"/>
      <c r="AB627" s="1420"/>
      <c r="AC627" s="1332">
        <v>1</v>
      </c>
      <c r="AD627" s="1333"/>
      <c r="AE627" s="1334"/>
      <c r="AF627" s="1442">
        <v>113119</v>
      </c>
      <c r="AG627" s="1443"/>
      <c r="AH627" s="1443"/>
      <c r="AI627" s="1443"/>
      <c r="AJ627" s="1444"/>
      <c r="AK627" s="1415"/>
      <c r="AL627" s="1416"/>
      <c r="AM627" s="1416"/>
      <c r="AN627" s="1417"/>
      <c r="AO627" s="1559">
        <v>1115000</v>
      </c>
      <c r="AP627" s="1559"/>
      <c r="AQ627" s="1559"/>
      <c r="AR627" s="1559"/>
      <c r="AS627" s="1559"/>
      <c r="AT627" s="2"/>
      <c r="AU627" s="2"/>
      <c r="AZ627" s="2"/>
      <c r="BA627" s="2"/>
      <c r="BB627" s="2"/>
      <c r="BC627" s="2"/>
      <c r="BD627" s="2"/>
    </row>
    <row r="628" spans="2:157" ht="13" customHeight="1">
      <c r="B628" s="35" t="s">
        <v>31</v>
      </c>
      <c r="C628" s="1426" t="str">
        <f>+C556</f>
        <v>Sponsor Loan - Tulare County REAP</v>
      </c>
      <c r="D628" s="1426"/>
      <c r="E628" s="1426"/>
      <c r="F628" s="1426"/>
      <c r="G628" s="1426"/>
      <c r="H628" s="1426"/>
      <c r="I628" s="1426"/>
      <c r="J628" s="1426"/>
      <c r="K628" s="1426"/>
      <c r="L628" s="1426"/>
      <c r="M628" s="1427" t="str">
        <f>+M556</f>
        <v>Loan, Residual Receipts</v>
      </c>
      <c r="N628" s="1427"/>
      <c r="O628" s="1427"/>
      <c r="P628" s="1427"/>
      <c r="Q628" s="1439">
        <f>55*12</f>
        <v>660</v>
      </c>
      <c r="R628" s="1440"/>
      <c r="S628" s="1441"/>
      <c r="T628" s="1439">
        <v>660</v>
      </c>
      <c r="U628" s="1440"/>
      <c r="V628" s="1441"/>
      <c r="W628" s="1411">
        <v>0.03</v>
      </c>
      <c r="X628" s="1412"/>
      <c r="Y628" s="1413"/>
      <c r="Z628" s="1418" t="s">
        <v>1450</v>
      </c>
      <c r="AA628" s="1419"/>
      <c r="AB628" s="1420"/>
      <c r="AC628" s="1332">
        <v>3</v>
      </c>
      <c r="AD628" s="1333"/>
      <c r="AE628" s="1334"/>
      <c r="AF628" s="1442"/>
      <c r="AG628" s="1443"/>
      <c r="AH628" s="1443"/>
      <c r="AI628" s="1443"/>
      <c r="AJ628" s="1444"/>
      <c r="AK628" s="1415"/>
      <c r="AL628" s="1416"/>
      <c r="AM628" s="1416"/>
      <c r="AN628" s="1417"/>
      <c r="AO628" s="1410">
        <v>1369665</v>
      </c>
      <c r="AP628" s="1295"/>
      <c r="AQ628" s="1295"/>
      <c r="AR628" s="1295"/>
      <c r="AS628" s="1296"/>
      <c r="AT628" s="928" t="str">
        <f>IF(AND(NOT(C627=""),C628="",NOT(C629="")),"!","")</f>
        <v/>
      </c>
      <c r="AU628" s="2"/>
      <c r="AZ628" s="2"/>
      <c r="BA628" s="2"/>
      <c r="BB628" s="2"/>
      <c r="BC628" s="2"/>
      <c r="BD628" s="2"/>
    </row>
    <row r="629" spans="2:157" ht="13" customHeight="1">
      <c r="B629" s="35" t="s">
        <v>39</v>
      </c>
      <c r="C629" s="1426" t="str">
        <f>+C557</f>
        <v>Accrued Interest - Sponsor Loan - Tulare County REAP</v>
      </c>
      <c r="D629" s="1426"/>
      <c r="E629" s="1426"/>
      <c r="F629" s="1426"/>
      <c r="G629" s="1426"/>
      <c r="H629" s="1426"/>
      <c r="I629" s="1426"/>
      <c r="J629" s="1426"/>
      <c r="K629" s="1426"/>
      <c r="L629" s="1426"/>
      <c r="M629" s="1427" t="str">
        <f>+M557</f>
        <v>Accrued Interest</v>
      </c>
      <c r="N629" s="1427"/>
      <c r="O629" s="1427"/>
      <c r="P629" s="1427"/>
      <c r="Q629" s="1439"/>
      <c r="R629" s="1440"/>
      <c r="S629" s="1441"/>
      <c r="T629" s="1439"/>
      <c r="U629" s="1440"/>
      <c r="V629" s="1441"/>
      <c r="W629" s="1411"/>
      <c r="X629" s="1412"/>
      <c r="Y629" s="1413"/>
      <c r="Z629" s="1418" t="s">
        <v>1003</v>
      </c>
      <c r="AA629" s="1419"/>
      <c r="AB629" s="1420"/>
      <c r="AC629" s="1332"/>
      <c r="AD629" s="1333"/>
      <c r="AE629" s="1334"/>
      <c r="AF629" s="1442"/>
      <c r="AG629" s="1443"/>
      <c r="AH629" s="1443"/>
      <c r="AI629" s="1443"/>
      <c r="AJ629" s="1444"/>
      <c r="AK629" s="1415"/>
      <c r="AL629" s="1416"/>
      <c r="AM629" s="1416"/>
      <c r="AN629" s="1417"/>
      <c r="AO629" s="1410">
        <v>41392</v>
      </c>
      <c r="AP629" s="1295"/>
      <c r="AQ629" s="1295"/>
      <c r="AR629" s="1295"/>
      <c r="AS629" s="1296"/>
      <c r="AT629" s="928" t="str">
        <f t="shared" ref="AT629:AT638" si="1">IF(AND(NOT(C628=""),C629="",NOT(C630="")),"!","")</f>
        <v/>
      </c>
      <c r="AU629" s="2"/>
      <c r="AZ629" s="2"/>
      <c r="BA629" s="2"/>
      <c r="BB629" s="2"/>
      <c r="BC629" s="2"/>
      <c r="BD629" s="2"/>
    </row>
    <row r="630" spans="2:157" ht="13" customHeight="1">
      <c r="B630" s="35" t="s">
        <v>82</v>
      </c>
      <c r="C630" s="1426" t="str">
        <f>+C558</f>
        <v>HCD - NHTF</v>
      </c>
      <c r="D630" s="1426"/>
      <c r="E630" s="1426"/>
      <c r="F630" s="1426"/>
      <c r="G630" s="1426"/>
      <c r="H630" s="1426"/>
      <c r="I630" s="1426"/>
      <c r="J630" s="1426"/>
      <c r="K630" s="1426"/>
      <c r="L630" s="1426"/>
      <c r="M630" s="1427" t="str">
        <f>+M558</f>
        <v>Loan, Residual Receipts</v>
      </c>
      <c r="N630" s="1427"/>
      <c r="O630" s="1427"/>
      <c r="P630" s="1427"/>
      <c r="Q630" s="1439">
        <v>660</v>
      </c>
      <c r="R630" s="1440"/>
      <c r="S630" s="1441"/>
      <c r="T630" s="1439">
        <v>660</v>
      </c>
      <c r="U630" s="1440"/>
      <c r="V630" s="1441"/>
      <c r="W630" s="1411">
        <v>0</v>
      </c>
      <c r="X630" s="1412"/>
      <c r="Y630" s="1413"/>
      <c r="Z630" s="1418" t="s">
        <v>1451</v>
      </c>
      <c r="AA630" s="1419"/>
      <c r="AB630" s="1420"/>
      <c r="AC630" s="1332">
        <v>2</v>
      </c>
      <c r="AD630" s="1333"/>
      <c r="AE630" s="1334"/>
      <c r="AF630" s="1442"/>
      <c r="AG630" s="1443"/>
      <c r="AH630" s="1443"/>
      <c r="AI630" s="1443"/>
      <c r="AJ630" s="1444"/>
      <c r="AK630" s="1415"/>
      <c r="AL630" s="1416"/>
      <c r="AM630" s="1416"/>
      <c r="AN630" s="1417"/>
      <c r="AO630" s="1410">
        <v>5713291</v>
      </c>
      <c r="AP630" s="1295"/>
      <c r="AQ630" s="1295"/>
      <c r="AR630" s="1295"/>
      <c r="AS630" s="1296"/>
      <c r="AT630" s="928" t="str">
        <f t="shared" si="1"/>
        <v/>
      </c>
      <c r="AU630" s="2"/>
      <c r="AZ630" s="2"/>
      <c r="BA630" s="2"/>
      <c r="BB630" s="2"/>
      <c r="BC630" s="2"/>
      <c r="BD630" s="2"/>
    </row>
    <row r="631" spans="2:157" ht="13" customHeight="1">
      <c r="B631" s="35" t="s">
        <v>86</v>
      </c>
      <c r="C631" s="1426" t="s">
        <v>1452</v>
      </c>
      <c r="D631" s="1426"/>
      <c r="E631" s="1426"/>
      <c r="F631" s="1426"/>
      <c r="G631" s="1426"/>
      <c r="H631" s="1426"/>
      <c r="I631" s="1426"/>
      <c r="J631" s="1426"/>
      <c r="K631" s="1426"/>
      <c r="L631" s="1426"/>
      <c r="M631" s="1427" t="s">
        <v>1371</v>
      </c>
      <c r="N631" s="1427"/>
      <c r="O631" s="1427"/>
      <c r="P631" s="1427"/>
      <c r="Q631" s="1439">
        <v>660</v>
      </c>
      <c r="R631" s="1440"/>
      <c r="S631" s="1441"/>
      <c r="T631" s="1439">
        <v>660</v>
      </c>
      <c r="U631" s="1440"/>
      <c r="V631" s="1441"/>
      <c r="W631" s="1411">
        <v>0</v>
      </c>
      <c r="X631" s="1412"/>
      <c r="Y631" s="1413"/>
      <c r="Z631" s="1418" t="s">
        <v>1451</v>
      </c>
      <c r="AA631" s="1419"/>
      <c r="AB631" s="1420"/>
      <c r="AC631" s="1332">
        <v>4</v>
      </c>
      <c r="AD631" s="1333"/>
      <c r="AE631" s="1334"/>
      <c r="AF631" s="1442"/>
      <c r="AG631" s="1443"/>
      <c r="AH631" s="1443"/>
      <c r="AI631" s="1443"/>
      <c r="AJ631" s="1444"/>
      <c r="AK631" s="1415"/>
      <c r="AL631" s="1416"/>
      <c r="AM631" s="1416"/>
      <c r="AN631" s="1417"/>
      <c r="AO631" s="1410">
        <v>11250000</v>
      </c>
      <c r="AP631" s="1295"/>
      <c r="AQ631" s="1295"/>
      <c r="AR631" s="1295"/>
      <c r="AS631" s="1296"/>
      <c r="AT631" s="928" t="str">
        <f t="shared" si="1"/>
        <v/>
      </c>
      <c r="AU631" s="2"/>
      <c r="AZ631" s="2"/>
      <c r="BA631" s="2"/>
      <c r="BB631" s="2"/>
      <c r="BC631" s="2"/>
      <c r="BD631" s="2"/>
    </row>
    <row r="632" spans="2:157" ht="13" customHeight="1">
      <c r="B632" s="35" t="s">
        <v>1407</v>
      </c>
      <c r="C632" s="1426" t="s">
        <v>1453</v>
      </c>
      <c r="D632" s="1426"/>
      <c r="E632" s="1426"/>
      <c r="F632" s="1426"/>
      <c r="G632" s="1426"/>
      <c r="H632" s="1426"/>
      <c r="I632" s="1426"/>
      <c r="J632" s="1426"/>
      <c r="K632" s="1426"/>
      <c r="L632" s="1426"/>
      <c r="M632" s="1427" t="s">
        <v>1371</v>
      </c>
      <c r="N632" s="1427"/>
      <c r="O632" s="1427"/>
      <c r="P632" s="1427"/>
      <c r="Q632" s="1439">
        <v>660</v>
      </c>
      <c r="R632" s="1440"/>
      <c r="S632" s="1441"/>
      <c r="T632" s="1439">
        <v>660</v>
      </c>
      <c r="U632" s="1440"/>
      <c r="V632" s="1441"/>
      <c r="W632" s="1411">
        <v>0.03</v>
      </c>
      <c r="X632" s="1412"/>
      <c r="Y632" s="1413"/>
      <c r="Z632" s="1418" t="s">
        <v>1451</v>
      </c>
      <c r="AA632" s="1419"/>
      <c r="AB632" s="1420"/>
      <c r="AC632" s="1332">
        <v>5</v>
      </c>
      <c r="AD632" s="1333"/>
      <c r="AE632" s="1334"/>
      <c r="AF632" s="1442"/>
      <c r="AG632" s="1443"/>
      <c r="AH632" s="1443"/>
      <c r="AI632" s="1443"/>
      <c r="AJ632" s="1444"/>
      <c r="AK632" s="1415"/>
      <c r="AL632" s="1416"/>
      <c r="AM632" s="1416"/>
      <c r="AN632" s="1417"/>
      <c r="AO632" s="1410">
        <v>1732699</v>
      </c>
      <c r="AP632" s="1295"/>
      <c r="AQ632" s="1295"/>
      <c r="AR632" s="1295"/>
      <c r="AS632" s="1296"/>
      <c r="AT632" s="928" t="str">
        <f t="shared" si="1"/>
        <v/>
      </c>
      <c r="AU632" s="2"/>
      <c r="AZ632" s="2"/>
      <c r="BA632" s="2"/>
      <c r="BB632" s="2"/>
      <c r="BC632" s="2"/>
      <c r="BD632" s="2"/>
    </row>
    <row r="633" spans="2:157" ht="13" customHeight="1">
      <c r="B633" s="35" t="s">
        <v>1409</v>
      </c>
      <c r="C633" s="1426" t="str">
        <f>+C560</f>
        <v>Deferred Developer Fee</v>
      </c>
      <c r="D633" s="1426"/>
      <c r="E633" s="1426"/>
      <c r="F633" s="1426"/>
      <c r="G633" s="1426"/>
      <c r="H633" s="1426"/>
      <c r="I633" s="1426"/>
      <c r="J633" s="1426"/>
      <c r="K633" s="1426"/>
      <c r="L633" s="1426"/>
      <c r="M633" s="1427" t="str">
        <f>+M560</f>
        <v>Developer Fee, Deferral</v>
      </c>
      <c r="N633" s="1427"/>
      <c r="O633" s="1427"/>
      <c r="P633" s="1427"/>
      <c r="Q633" s="1439"/>
      <c r="R633" s="1440"/>
      <c r="S633" s="1441"/>
      <c r="T633" s="1439"/>
      <c r="U633" s="1440"/>
      <c r="V633" s="1441"/>
      <c r="W633" s="1411"/>
      <c r="X633" s="1412"/>
      <c r="Y633" s="1413"/>
      <c r="Z633" s="1418" t="s">
        <v>1003</v>
      </c>
      <c r="AA633" s="1419"/>
      <c r="AB633" s="1420"/>
      <c r="AC633" s="1332"/>
      <c r="AD633" s="1333"/>
      <c r="AE633" s="1334"/>
      <c r="AF633" s="1442"/>
      <c r="AG633" s="1443"/>
      <c r="AH633" s="1443"/>
      <c r="AI633" s="1443"/>
      <c r="AJ633" s="1444"/>
      <c r="AK633" s="1415"/>
      <c r="AL633" s="1416"/>
      <c r="AM633" s="1416"/>
      <c r="AN633" s="1417"/>
      <c r="AO633" s="1410">
        <f>+AM560</f>
        <v>2514020</v>
      </c>
      <c r="AP633" s="1295"/>
      <c r="AQ633" s="1295"/>
      <c r="AR633" s="1295"/>
      <c r="AS633" s="1296"/>
      <c r="AT633" s="928" t="str">
        <f t="shared" si="1"/>
        <v/>
      </c>
      <c r="AU633" s="2"/>
      <c r="AV633" s="2"/>
      <c r="AW633" s="2"/>
      <c r="AX633" s="2"/>
      <c r="AY633" s="2"/>
      <c r="AZ633" s="2"/>
      <c r="BA633" s="2"/>
      <c r="BB633" s="2"/>
      <c r="BC633" s="2"/>
      <c r="BD633" s="2"/>
    </row>
    <row r="634" spans="2:157" ht="13" customHeight="1">
      <c r="B634" s="35" t="s">
        <v>1411</v>
      </c>
      <c r="C634" s="1426" t="s">
        <v>1454</v>
      </c>
      <c r="D634" s="1426"/>
      <c r="E634" s="1426"/>
      <c r="F634" s="1426"/>
      <c r="G634" s="1426"/>
      <c r="H634" s="1426"/>
      <c r="I634" s="1426"/>
      <c r="J634" s="1426"/>
      <c r="K634" s="1426"/>
      <c r="L634" s="1426"/>
      <c r="M634" s="1427" t="s">
        <v>1361</v>
      </c>
      <c r="N634" s="1427"/>
      <c r="O634" s="1427"/>
      <c r="P634" s="1427"/>
      <c r="Q634" s="1439"/>
      <c r="R634" s="1440"/>
      <c r="S634" s="1441"/>
      <c r="T634" s="1439"/>
      <c r="U634" s="1440"/>
      <c r="V634" s="1441"/>
      <c r="W634" s="1411"/>
      <c r="X634" s="1412"/>
      <c r="Y634" s="1413"/>
      <c r="Z634" s="1418" t="s">
        <v>1003</v>
      </c>
      <c r="AA634" s="1419"/>
      <c r="AB634" s="1420"/>
      <c r="AC634" s="1332"/>
      <c r="AD634" s="1333"/>
      <c r="AE634" s="1334"/>
      <c r="AF634" s="1442"/>
      <c r="AG634" s="1443"/>
      <c r="AH634" s="1443"/>
      <c r="AI634" s="1443"/>
      <c r="AJ634" s="1444"/>
      <c r="AK634" s="1415"/>
      <c r="AL634" s="1416"/>
      <c r="AM634" s="1416"/>
      <c r="AN634" s="1417"/>
      <c r="AO634" s="1410">
        <v>312083</v>
      </c>
      <c r="AP634" s="1295"/>
      <c r="AQ634" s="1295"/>
      <c r="AR634" s="1295"/>
      <c r="AS634" s="1296"/>
      <c r="AT634" s="928" t="str">
        <f t="shared" si="1"/>
        <v/>
      </c>
      <c r="AU634" s="2"/>
      <c r="AV634" s="2"/>
      <c r="AW634" s="2"/>
      <c r="AX634" s="2"/>
      <c r="AY634" s="2"/>
      <c r="AZ634" s="2"/>
      <c r="BA634" s="2" t="s">
        <v>1003</v>
      </c>
      <c r="BB634" s="2"/>
      <c r="BC634" s="2"/>
      <c r="BD634" s="2"/>
    </row>
    <row r="635" spans="2:157" ht="13" customHeight="1">
      <c r="B635" s="35" t="s">
        <v>1413</v>
      </c>
      <c r="C635" s="1426" t="str">
        <f>+C562</f>
        <v>Donated Land</v>
      </c>
      <c r="D635" s="1426"/>
      <c r="E635" s="1426"/>
      <c r="F635" s="1426"/>
      <c r="G635" s="1426"/>
      <c r="H635" s="1426"/>
      <c r="I635" s="1426"/>
      <c r="J635" s="1426"/>
      <c r="K635" s="1426"/>
      <c r="L635" s="1426"/>
      <c r="M635" s="1427" t="s">
        <v>1382</v>
      </c>
      <c r="N635" s="1427"/>
      <c r="O635" s="1427"/>
      <c r="P635" s="1427"/>
      <c r="Q635" s="1439"/>
      <c r="R635" s="1440"/>
      <c r="S635" s="1441"/>
      <c r="T635" s="1439"/>
      <c r="U635" s="1440"/>
      <c r="V635" s="1441"/>
      <c r="W635" s="1411"/>
      <c r="X635" s="1412"/>
      <c r="Y635" s="1413"/>
      <c r="Z635" s="1418" t="s">
        <v>1003</v>
      </c>
      <c r="AA635" s="1419"/>
      <c r="AB635" s="1420"/>
      <c r="AC635" s="1332"/>
      <c r="AD635" s="1333"/>
      <c r="AE635" s="1334"/>
      <c r="AF635" s="1442"/>
      <c r="AG635" s="1443"/>
      <c r="AH635" s="1443"/>
      <c r="AI635" s="1443"/>
      <c r="AJ635" s="1444"/>
      <c r="AK635" s="1415"/>
      <c r="AL635" s="1416"/>
      <c r="AM635" s="1416"/>
      <c r="AN635" s="1417"/>
      <c r="AO635" s="1410">
        <f>+AM562</f>
        <v>975793</v>
      </c>
      <c r="AP635" s="1295"/>
      <c r="AQ635" s="1295"/>
      <c r="AR635" s="1295"/>
      <c r="AS635" s="1296"/>
      <c r="AT635" s="928" t="str">
        <f t="shared" si="1"/>
        <v/>
      </c>
      <c r="AU635" s="2"/>
      <c r="AV635" s="2"/>
      <c r="AW635" s="2"/>
      <c r="AX635" s="2"/>
      <c r="AY635" s="2"/>
      <c r="AZ635" s="2"/>
      <c r="BA635" s="2" t="s">
        <v>1450</v>
      </c>
      <c r="BB635" s="2"/>
      <c r="BC635" s="2"/>
      <c r="BD635" s="2"/>
      <c r="BE635" s="2"/>
      <c r="BF635" s="2"/>
      <c r="BG635" s="2"/>
      <c r="BH635" s="2"/>
      <c r="BI635" s="2"/>
      <c r="BJ635" s="2"/>
      <c r="BK635" s="2"/>
      <c r="BL635" s="2"/>
      <c r="BM635" s="2"/>
      <c r="CR635" s="1068"/>
      <c r="CS635" s="2"/>
      <c r="CT635" s="2"/>
      <c r="CU635" s="2"/>
      <c r="CV635" s="2"/>
      <c r="CW635" s="2"/>
      <c r="CX635" s="2"/>
      <c r="CY635" s="2"/>
      <c r="CZ635" s="2"/>
      <c r="DA635" s="2"/>
      <c r="DB635" s="2"/>
      <c r="DC635" s="2"/>
      <c r="DD635" s="2"/>
      <c r="DE635" s="2"/>
      <c r="DF635" s="2"/>
      <c r="DX635" s="1320" t="e">
        <f t="shared" ref="DX635:DX669" si="2">EZ718*(CP718/$CP$753)</f>
        <v>#VALUE!</v>
      </c>
      <c r="DY635" s="1320"/>
      <c r="DZ635" s="1320"/>
      <c r="EA635" s="1320"/>
      <c r="EB635" s="1320"/>
      <c r="EC635" s="1320">
        <f t="shared" ref="EC635:EC669" si="3">FE718*(CU718/$CU$753)</f>
        <v>134.53125</v>
      </c>
      <c r="ED635" s="1320"/>
      <c r="EE635" s="1320"/>
      <c r="EF635" s="1320"/>
      <c r="EG635" s="1320"/>
      <c r="EH635" s="1320" t="e">
        <f t="shared" ref="EH635:EH669" si="4">FJ718*(CZ718/$CZ$753)</f>
        <v>#VALUE!</v>
      </c>
      <c r="EI635" s="1320"/>
      <c r="EJ635" s="1320"/>
      <c r="EK635" s="1320"/>
      <c r="EL635" s="1320"/>
      <c r="EM635" s="1320" t="e">
        <f t="shared" ref="EM635:EM669" si="5">FO718*(DE718/$DE$753)</f>
        <v>#VALUE!</v>
      </c>
      <c r="EN635" s="1320"/>
      <c r="EO635" s="1320"/>
      <c r="EP635" s="1320"/>
      <c r="EQ635" s="1320"/>
      <c r="ER635" s="1320" t="e">
        <f t="shared" ref="ER635:ER669" si="6">FT718*(DJ718/$DJ$753)</f>
        <v>#VALUE!</v>
      </c>
      <c r="ES635" s="1320"/>
      <c r="ET635" s="1320"/>
      <c r="EU635" s="1320"/>
      <c r="EV635" s="1320"/>
      <c r="EW635" s="1320" t="e">
        <f t="shared" ref="EW635:EW669" si="7">FY718*(DO718/$DO$753)</f>
        <v>#VALUE!</v>
      </c>
      <c r="EX635" s="1320"/>
      <c r="EY635" s="1320"/>
      <c r="EZ635" s="1320"/>
      <c r="FA635" s="1320"/>
    </row>
    <row r="636" spans="2:157" ht="13" customHeight="1">
      <c r="B636" s="35" t="s">
        <v>1415</v>
      </c>
      <c r="C636" s="1426"/>
      <c r="D636" s="1426"/>
      <c r="E636" s="1426"/>
      <c r="F636" s="1426"/>
      <c r="G636" s="1426"/>
      <c r="H636" s="1426"/>
      <c r="I636" s="1426"/>
      <c r="J636" s="1426"/>
      <c r="K636" s="1426"/>
      <c r="L636" s="1426"/>
      <c r="M636" s="1427" t="s">
        <v>1003</v>
      </c>
      <c r="N636" s="1427"/>
      <c r="O636" s="1427"/>
      <c r="P636" s="1427"/>
      <c r="Q636" s="1439"/>
      <c r="R636" s="1440"/>
      <c r="S636" s="1441"/>
      <c r="T636" s="1439"/>
      <c r="U636" s="1440"/>
      <c r="V636" s="1441"/>
      <c r="W636" s="1411"/>
      <c r="X636" s="1412"/>
      <c r="Y636" s="1413"/>
      <c r="Z636" s="1418" t="s">
        <v>1003</v>
      </c>
      <c r="AA636" s="1419"/>
      <c r="AB636" s="1420"/>
      <c r="AC636" s="1332"/>
      <c r="AD636" s="1333"/>
      <c r="AE636" s="1334"/>
      <c r="AF636" s="1442"/>
      <c r="AG636" s="1443"/>
      <c r="AH636" s="1443"/>
      <c r="AI636" s="1443"/>
      <c r="AJ636" s="1444"/>
      <c r="AK636" s="1415"/>
      <c r="AL636" s="1416"/>
      <c r="AM636" s="1416"/>
      <c r="AN636" s="1417"/>
      <c r="AO636" s="1410"/>
      <c r="AP636" s="1295"/>
      <c r="AQ636" s="1295"/>
      <c r="AR636" s="1295"/>
      <c r="AS636" s="1296"/>
      <c r="AT636" s="928" t="str">
        <f t="shared" si="1"/>
        <v/>
      </c>
      <c r="AV636" s="2"/>
      <c r="AW636" s="2"/>
      <c r="AX636" s="2"/>
      <c r="AY636" s="2"/>
      <c r="AZ636" s="2"/>
      <c r="BA636" s="2" t="s">
        <v>1451</v>
      </c>
      <c r="BB636" s="2"/>
      <c r="BC636" s="2"/>
      <c r="BD636" s="2"/>
      <c r="BE636" s="2"/>
      <c r="BF636" s="2"/>
      <c r="BG636" s="2"/>
      <c r="BH636" s="2"/>
      <c r="BI636" s="2"/>
      <c r="BJ636" s="2"/>
      <c r="BK636" s="2"/>
      <c r="BL636" s="2"/>
      <c r="BM636" s="2"/>
      <c r="DA636" s="2"/>
      <c r="DB636" s="2"/>
      <c r="DC636" s="2"/>
      <c r="DD636" s="2"/>
      <c r="DE636" s="2"/>
      <c r="DF636" s="2"/>
      <c r="DX636" s="1320" t="e">
        <f t="shared" si="2"/>
        <v>#VALUE!</v>
      </c>
      <c r="DY636" s="1320"/>
      <c r="DZ636" s="1320"/>
      <c r="EA636" s="1320"/>
      <c r="EB636" s="1320"/>
      <c r="EC636" s="1320" t="e">
        <f t="shared" si="3"/>
        <v>#VALUE!</v>
      </c>
      <c r="ED636" s="1320"/>
      <c r="EE636" s="1320"/>
      <c r="EF636" s="1320"/>
      <c r="EG636" s="1320"/>
      <c r="EH636" s="1320">
        <f t="shared" si="4"/>
        <v>93.800000000000011</v>
      </c>
      <c r="EI636" s="1320"/>
      <c r="EJ636" s="1320"/>
      <c r="EK636" s="1320"/>
      <c r="EL636" s="1320"/>
      <c r="EM636" s="1320" t="e">
        <f t="shared" si="5"/>
        <v>#VALUE!</v>
      </c>
      <c r="EN636" s="1320"/>
      <c r="EO636" s="1320"/>
      <c r="EP636" s="1320"/>
      <c r="EQ636" s="1320"/>
      <c r="ER636" s="1320" t="e">
        <f t="shared" si="6"/>
        <v>#VALUE!</v>
      </c>
      <c r="ES636" s="1320"/>
      <c r="ET636" s="1320"/>
      <c r="EU636" s="1320"/>
      <c r="EV636" s="1320"/>
      <c r="EW636" s="1320" t="e">
        <f t="shared" si="7"/>
        <v>#VALUE!</v>
      </c>
      <c r="EX636" s="1320"/>
      <c r="EY636" s="1320"/>
      <c r="EZ636" s="1320"/>
      <c r="FA636" s="1320"/>
    </row>
    <row r="637" spans="2:157" ht="13" customHeight="1">
      <c r="B637" s="35" t="s">
        <v>1416</v>
      </c>
      <c r="C637" s="1426"/>
      <c r="D637" s="1426"/>
      <c r="E637" s="1426"/>
      <c r="F637" s="1426"/>
      <c r="G637" s="1426"/>
      <c r="H637" s="1426"/>
      <c r="I637" s="1426"/>
      <c r="J637" s="1426"/>
      <c r="K637" s="1426"/>
      <c r="L637" s="1426"/>
      <c r="M637" s="1427" t="s">
        <v>1003</v>
      </c>
      <c r="N637" s="1427"/>
      <c r="O637" s="1427"/>
      <c r="P637" s="1427"/>
      <c r="Q637" s="1439"/>
      <c r="R637" s="1440"/>
      <c r="S637" s="1441"/>
      <c r="T637" s="1439"/>
      <c r="U637" s="1440"/>
      <c r="V637" s="1441"/>
      <c r="W637" s="1411"/>
      <c r="X637" s="1412"/>
      <c r="Y637" s="1413"/>
      <c r="Z637" s="1418" t="s">
        <v>1003</v>
      </c>
      <c r="AA637" s="1419"/>
      <c r="AB637" s="1420"/>
      <c r="AC637" s="1332"/>
      <c r="AD637" s="1333"/>
      <c r="AE637" s="1334"/>
      <c r="AF637" s="1442"/>
      <c r="AG637" s="1443"/>
      <c r="AH637" s="1443"/>
      <c r="AI637" s="1443"/>
      <c r="AJ637" s="1444"/>
      <c r="AK637" s="1415"/>
      <c r="AL637" s="1416"/>
      <c r="AM637" s="1416"/>
      <c r="AN637" s="1417"/>
      <c r="AO637" s="1410"/>
      <c r="AP637" s="1295"/>
      <c r="AQ637" s="1295"/>
      <c r="AR637" s="1295"/>
      <c r="AS637" s="1296"/>
      <c r="AT637" s="928" t="str">
        <f t="shared" si="1"/>
        <v/>
      </c>
      <c r="AV637" s="2"/>
      <c r="AW637" s="2"/>
      <c r="AX637" s="2"/>
      <c r="AY637" s="2"/>
      <c r="AZ637" s="2"/>
      <c r="BA637" s="2" t="s">
        <v>1449</v>
      </c>
      <c r="BB637" s="2"/>
      <c r="BC637" s="2"/>
      <c r="BD637" s="2"/>
      <c r="BE637" s="2"/>
      <c r="BF637" s="2"/>
      <c r="BG637" s="2"/>
      <c r="BH637" s="2"/>
      <c r="BI637" s="2"/>
      <c r="BJ637" s="2"/>
      <c r="BK637" s="2"/>
      <c r="BL637" s="2"/>
      <c r="BM637" s="2"/>
      <c r="DA637" s="2"/>
      <c r="DB637" s="2"/>
      <c r="DC637" s="2"/>
      <c r="DD637" s="2"/>
      <c r="DE637" s="2"/>
      <c r="DF637" s="2"/>
      <c r="DX637" s="1320" t="e">
        <f t="shared" si="2"/>
        <v>#VALUE!</v>
      </c>
      <c r="DY637" s="1320"/>
      <c r="DZ637" s="1320"/>
      <c r="EA637" s="1320"/>
      <c r="EB637" s="1320"/>
      <c r="EC637" s="1320">
        <f t="shared" si="3"/>
        <v>62.890625</v>
      </c>
      <c r="ED637" s="1320"/>
      <c r="EE637" s="1320"/>
      <c r="EF637" s="1320"/>
      <c r="EG637" s="1320"/>
      <c r="EH637" s="1320" t="e">
        <f t="shared" si="4"/>
        <v>#VALUE!</v>
      </c>
      <c r="EI637" s="1320"/>
      <c r="EJ637" s="1320"/>
      <c r="EK637" s="1320"/>
      <c r="EL637" s="1320"/>
      <c r="EM637" s="1320" t="e">
        <f t="shared" si="5"/>
        <v>#VALUE!</v>
      </c>
      <c r="EN637" s="1320"/>
      <c r="EO637" s="1320"/>
      <c r="EP637" s="1320"/>
      <c r="EQ637" s="1320"/>
      <c r="ER637" s="1320" t="e">
        <f t="shared" si="6"/>
        <v>#VALUE!</v>
      </c>
      <c r="ES637" s="1320"/>
      <c r="ET637" s="1320"/>
      <c r="EU637" s="1320"/>
      <c r="EV637" s="1320"/>
      <c r="EW637" s="1320" t="e">
        <f t="shared" si="7"/>
        <v>#VALUE!</v>
      </c>
      <c r="EX637" s="1320"/>
      <c r="EY637" s="1320"/>
      <c r="EZ637" s="1320"/>
      <c r="FA637" s="1320"/>
    </row>
    <row r="638" spans="2:157" ht="13" customHeight="1">
      <c r="B638" s="35" t="s">
        <v>1417</v>
      </c>
      <c r="C638" s="1426"/>
      <c r="D638" s="1426"/>
      <c r="E638" s="1426"/>
      <c r="F638" s="1426"/>
      <c r="G638" s="1426"/>
      <c r="H638" s="1426"/>
      <c r="I638" s="1426"/>
      <c r="J638" s="1426"/>
      <c r="K638" s="1426"/>
      <c r="L638" s="1426"/>
      <c r="M638" s="1427" t="s">
        <v>1003</v>
      </c>
      <c r="N638" s="1427"/>
      <c r="O638" s="1427"/>
      <c r="P638" s="1427"/>
      <c r="Q638" s="1439"/>
      <c r="R638" s="1440"/>
      <c r="S638" s="1441"/>
      <c r="T638" s="1439"/>
      <c r="U638" s="1440"/>
      <c r="V638" s="1441"/>
      <c r="W638" s="1411"/>
      <c r="X638" s="1412"/>
      <c r="Y638" s="1413"/>
      <c r="Z638" s="1418" t="s">
        <v>1003</v>
      </c>
      <c r="AA638" s="1419"/>
      <c r="AB638" s="1420"/>
      <c r="AC638" s="1332"/>
      <c r="AD638" s="1333"/>
      <c r="AE638" s="1334"/>
      <c r="AF638" s="1442"/>
      <c r="AG638" s="1443"/>
      <c r="AH638" s="1443"/>
      <c r="AI638" s="1443"/>
      <c r="AJ638" s="1444"/>
      <c r="AK638" s="1415"/>
      <c r="AL638" s="1416"/>
      <c r="AM638" s="1416"/>
      <c r="AN638" s="1417"/>
      <c r="AO638" s="1410"/>
      <c r="AP638" s="1295"/>
      <c r="AQ638" s="1295"/>
      <c r="AR638" s="1295"/>
      <c r="AS638" s="1296"/>
      <c r="AT638" s="928" t="str">
        <f t="shared" si="1"/>
        <v/>
      </c>
      <c r="AV638" s="2"/>
      <c r="AW638" s="2"/>
      <c r="AX638" s="2"/>
      <c r="AY638" s="2"/>
      <c r="AZ638" s="2"/>
      <c r="BA638" s="2" t="s">
        <v>1054</v>
      </c>
      <c r="BB638" s="2"/>
      <c r="BC638" s="2"/>
      <c r="BD638" s="2"/>
      <c r="BE638" s="2"/>
      <c r="BF638" s="2"/>
      <c r="BG638" s="2"/>
      <c r="BH638" s="2"/>
      <c r="BI638" s="2"/>
      <c r="BJ638" s="2"/>
      <c r="BK638" s="2"/>
      <c r="BL638" s="2"/>
      <c r="BM638" s="2"/>
      <c r="DA638" s="2"/>
      <c r="DB638" s="2"/>
      <c r="DC638" s="2"/>
      <c r="DD638" s="2"/>
      <c r="DE638" s="2"/>
      <c r="DF638" s="2"/>
      <c r="DX638" s="1320" t="e">
        <f t="shared" si="2"/>
        <v>#VALUE!</v>
      </c>
      <c r="DY638" s="1320"/>
      <c r="DZ638" s="1320"/>
      <c r="EA638" s="1320"/>
      <c r="EB638" s="1320"/>
      <c r="EC638" s="1320" t="e">
        <f t="shared" si="3"/>
        <v>#VALUE!</v>
      </c>
      <c r="ED638" s="1320"/>
      <c r="EE638" s="1320"/>
      <c r="EF638" s="1320"/>
      <c r="EG638" s="1320"/>
      <c r="EH638" s="1320">
        <f t="shared" si="4"/>
        <v>44.466666666666669</v>
      </c>
      <c r="EI638" s="1320"/>
      <c r="EJ638" s="1320"/>
      <c r="EK638" s="1320"/>
      <c r="EL638" s="1320"/>
      <c r="EM638" s="1320" t="e">
        <f t="shared" si="5"/>
        <v>#VALUE!</v>
      </c>
      <c r="EN638" s="1320"/>
      <c r="EO638" s="1320"/>
      <c r="EP638" s="1320"/>
      <c r="EQ638" s="1320"/>
      <c r="ER638" s="1320" t="e">
        <f t="shared" si="6"/>
        <v>#VALUE!</v>
      </c>
      <c r="ES638" s="1320"/>
      <c r="ET638" s="1320"/>
      <c r="EU638" s="1320"/>
      <c r="EV638" s="1320"/>
      <c r="EW638" s="1320" t="e">
        <f t="shared" si="7"/>
        <v>#VALUE!</v>
      </c>
      <c r="EX638" s="1320"/>
      <c r="EY638" s="1320"/>
      <c r="EZ638" s="1320"/>
      <c r="FA638" s="1320"/>
    </row>
    <row r="639" spans="2:157" ht="13" customHeight="1">
      <c r="B639" s="1527" t="s">
        <v>1455</v>
      </c>
      <c r="C639" s="1528"/>
      <c r="D639" s="1528"/>
      <c r="E639" s="1528"/>
      <c r="F639" s="1528"/>
      <c r="G639" s="1528"/>
      <c r="H639" s="1528"/>
      <c r="I639" s="1528"/>
      <c r="J639" s="1528"/>
      <c r="K639" s="1528"/>
      <c r="L639" s="1528"/>
      <c r="M639" s="1528"/>
      <c r="N639" s="1528"/>
      <c r="O639" s="1528"/>
      <c r="P639" s="1528"/>
      <c r="Q639" s="1528"/>
      <c r="R639" s="1528"/>
      <c r="S639" s="1528"/>
      <c r="T639" s="1528"/>
      <c r="U639" s="1528"/>
      <c r="V639" s="1528"/>
      <c r="W639" s="1528"/>
      <c r="X639" s="1528"/>
      <c r="Y639" s="1528"/>
      <c r="Z639" s="1528"/>
      <c r="AA639" s="1528"/>
      <c r="AB639" s="1528"/>
      <c r="AC639" s="1528"/>
      <c r="AD639" s="1528"/>
      <c r="AE639" s="1528"/>
      <c r="AF639" s="1528"/>
      <c r="AG639" s="1528"/>
      <c r="AH639" s="1528"/>
      <c r="AI639" s="1528"/>
      <c r="AJ639" s="1528"/>
      <c r="AK639" s="1528"/>
      <c r="AL639" s="1528"/>
      <c r="AM639" s="1528"/>
      <c r="AN639" s="1530"/>
      <c r="AO639" s="1407">
        <f>SUM(AO627:AR638)</f>
        <v>25023943</v>
      </c>
      <c r="AP639" s="1408"/>
      <c r="AQ639" s="1408"/>
      <c r="AR639" s="1408"/>
      <c r="AS639" s="1409"/>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0" t="e">
        <f t="shared" si="2"/>
        <v>#VALUE!</v>
      </c>
      <c r="DY639" s="1320"/>
      <c r="DZ639" s="1320"/>
      <c r="EA639" s="1320"/>
      <c r="EB639" s="1320"/>
      <c r="EC639" s="1320">
        <f t="shared" si="3"/>
        <v>323.75</v>
      </c>
      <c r="ED639" s="1320"/>
      <c r="EE639" s="1320"/>
      <c r="EF639" s="1320"/>
      <c r="EG639" s="1320"/>
      <c r="EH639" s="1320" t="e">
        <f t="shared" si="4"/>
        <v>#VALUE!</v>
      </c>
      <c r="EI639" s="1320"/>
      <c r="EJ639" s="1320"/>
      <c r="EK639" s="1320"/>
      <c r="EL639" s="1320"/>
      <c r="EM639" s="1320" t="e">
        <f t="shared" si="5"/>
        <v>#VALUE!</v>
      </c>
      <c r="EN639" s="1320"/>
      <c r="EO639" s="1320"/>
      <c r="EP639" s="1320"/>
      <c r="EQ639" s="1320"/>
      <c r="ER639" s="1320" t="e">
        <f t="shared" si="6"/>
        <v>#VALUE!</v>
      </c>
      <c r="ES639" s="1320"/>
      <c r="ET639" s="1320"/>
      <c r="EU639" s="1320"/>
      <c r="EV639" s="1320"/>
      <c r="EW639" s="1320" t="e">
        <f t="shared" si="7"/>
        <v>#VALUE!</v>
      </c>
      <c r="EX639" s="1320"/>
      <c r="EY639" s="1320"/>
      <c r="EZ639" s="1320"/>
      <c r="FA639" s="1320"/>
    </row>
    <row r="640" spans="2:157" ht="13" customHeight="1">
      <c r="B640" s="1527" t="s">
        <v>1456</v>
      </c>
      <c r="C640" s="1528"/>
      <c r="D640" s="1528"/>
      <c r="E640" s="1528"/>
      <c r="F640" s="1528"/>
      <c r="G640" s="1528"/>
      <c r="H640" s="1528"/>
      <c r="I640" s="1528"/>
      <c r="J640" s="1528"/>
      <c r="K640" s="1528"/>
      <c r="L640" s="1528"/>
      <c r="M640" s="1528"/>
      <c r="N640" s="1528"/>
      <c r="O640" s="1528"/>
      <c r="P640" s="1528"/>
      <c r="Q640" s="1528"/>
      <c r="R640" s="1528"/>
      <c r="S640" s="1528"/>
      <c r="T640" s="1528"/>
      <c r="U640" s="1528"/>
      <c r="V640" s="1528"/>
      <c r="W640" s="1528"/>
      <c r="X640" s="1528"/>
      <c r="Y640" s="1528"/>
      <c r="Z640" s="1528"/>
      <c r="AA640" s="1528"/>
      <c r="AB640" s="1528"/>
      <c r="AC640" s="1528"/>
      <c r="AD640" s="1528"/>
      <c r="AE640" s="1528"/>
      <c r="AF640" s="1528"/>
      <c r="AG640" s="1528"/>
      <c r="AH640" s="1528"/>
      <c r="AI640" s="1528"/>
      <c r="AJ640" s="1528"/>
      <c r="AK640" s="1528"/>
      <c r="AL640" s="1528"/>
      <c r="AM640" s="1528"/>
      <c r="AN640" s="1530"/>
      <c r="AO640" s="1410">
        <f>13576138</f>
        <v>13576138</v>
      </c>
      <c r="AP640" s="1295"/>
      <c r="AQ640" s="1295"/>
      <c r="AR640" s="1295"/>
      <c r="AS640" s="1296"/>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0" t="e">
        <f t="shared" si="2"/>
        <v>#VALUE!</v>
      </c>
      <c r="DY640" s="1320"/>
      <c r="DZ640" s="1320"/>
      <c r="EA640" s="1320"/>
      <c r="EB640" s="1320"/>
      <c r="EC640" s="1320" t="e">
        <f t="shared" si="3"/>
        <v>#VALUE!</v>
      </c>
      <c r="ED640" s="1320"/>
      <c r="EE640" s="1320"/>
      <c r="EF640" s="1320"/>
      <c r="EG640" s="1320"/>
      <c r="EH640" s="1320">
        <f t="shared" si="4"/>
        <v>230.66666666666666</v>
      </c>
      <c r="EI640" s="1320"/>
      <c r="EJ640" s="1320"/>
      <c r="EK640" s="1320"/>
      <c r="EL640" s="1320"/>
      <c r="EM640" s="1320" t="e">
        <f t="shared" si="5"/>
        <v>#VALUE!</v>
      </c>
      <c r="EN640" s="1320"/>
      <c r="EO640" s="1320"/>
      <c r="EP640" s="1320"/>
      <c r="EQ640" s="1320"/>
      <c r="ER640" s="1320" t="e">
        <f t="shared" si="6"/>
        <v>#VALUE!</v>
      </c>
      <c r="ES640" s="1320"/>
      <c r="ET640" s="1320"/>
      <c r="EU640" s="1320"/>
      <c r="EV640" s="1320"/>
      <c r="EW640" s="1320" t="e">
        <f t="shared" si="7"/>
        <v>#VALUE!</v>
      </c>
      <c r="EX640" s="1320"/>
      <c r="EY640" s="1320"/>
      <c r="EZ640" s="1320"/>
      <c r="FA640" s="1320"/>
    </row>
    <row r="641" spans="1:157" ht="13" customHeight="1">
      <c r="B641" s="1765" t="s">
        <v>1457</v>
      </c>
      <c r="C641" s="1529"/>
      <c r="D641" s="1529"/>
      <c r="E641" s="1529"/>
      <c r="F641" s="1529"/>
      <c r="G641" s="1529"/>
      <c r="H641" s="1529"/>
      <c r="I641" s="1529"/>
      <c r="J641" s="1529"/>
      <c r="K641" s="1529"/>
      <c r="L641" s="1529"/>
      <c r="M641" s="1529"/>
      <c r="N641" s="1529"/>
      <c r="O641" s="1529"/>
      <c r="P641" s="1529"/>
      <c r="Q641" s="1529"/>
      <c r="R641" s="1529"/>
      <c r="S641" s="1529"/>
      <c r="T641" s="1529"/>
      <c r="U641" s="1529"/>
      <c r="V641" s="1529"/>
      <c r="W641" s="1529"/>
      <c r="X641" s="1529"/>
      <c r="Y641" s="1529"/>
      <c r="Z641" s="1529"/>
      <c r="AA641" s="1529"/>
      <c r="AB641" s="1529"/>
      <c r="AC641" s="1529"/>
      <c r="AD641" s="1529"/>
      <c r="AE641" s="1529"/>
      <c r="AF641" s="1529"/>
      <c r="AG641" s="1529"/>
      <c r="AH641" s="1529"/>
      <c r="AI641" s="1529"/>
      <c r="AJ641" s="1529"/>
      <c r="AK641" s="1529"/>
      <c r="AL641" s="1529"/>
      <c r="AM641" s="1529"/>
      <c r="AN641" s="1766"/>
      <c r="AO641" s="1407">
        <f>AO639+AO640</f>
        <v>38600081</v>
      </c>
      <c r="AP641" s="1408"/>
      <c r="AQ641" s="1408"/>
      <c r="AR641" s="1408"/>
      <c r="AS641" s="1409"/>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0" t="e">
        <f t="shared" si="2"/>
        <v>#VALUE!</v>
      </c>
      <c r="DY641" s="1320"/>
      <c r="DZ641" s="1320"/>
      <c r="EA641" s="1320"/>
      <c r="EB641" s="1320"/>
      <c r="EC641" s="1320">
        <f t="shared" si="3"/>
        <v>146.875</v>
      </c>
      <c r="ED641" s="1320"/>
      <c r="EE641" s="1320"/>
      <c r="EF641" s="1320"/>
      <c r="EG641" s="1320"/>
      <c r="EH641" s="1320" t="e">
        <f t="shared" si="4"/>
        <v>#VALUE!</v>
      </c>
      <c r="EI641" s="1320"/>
      <c r="EJ641" s="1320"/>
      <c r="EK641" s="1320"/>
      <c r="EL641" s="1320"/>
      <c r="EM641" s="1320" t="e">
        <f t="shared" si="5"/>
        <v>#VALUE!</v>
      </c>
      <c r="EN641" s="1320"/>
      <c r="EO641" s="1320"/>
      <c r="EP641" s="1320"/>
      <c r="EQ641" s="1320"/>
      <c r="ER641" s="1320" t="e">
        <f t="shared" si="6"/>
        <v>#VALUE!</v>
      </c>
      <c r="ES641" s="1320"/>
      <c r="ET641" s="1320"/>
      <c r="EU641" s="1320"/>
      <c r="EV641" s="1320"/>
      <c r="EW641" s="1320" t="e">
        <f t="shared" si="7"/>
        <v>#VALUE!</v>
      </c>
      <c r="EX641" s="1320"/>
      <c r="EY641" s="1320"/>
      <c r="EZ641" s="1320"/>
      <c r="FA641" s="1320"/>
    </row>
    <row r="642" spans="1:157" ht="13"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0" t="e">
        <f t="shared" si="2"/>
        <v>#VALUE!</v>
      </c>
      <c r="DY642" s="1320"/>
      <c r="DZ642" s="1320"/>
      <c r="EA642" s="1320"/>
      <c r="EB642" s="1320"/>
      <c r="EC642" s="1320" t="e">
        <f t="shared" si="3"/>
        <v>#VALUE!</v>
      </c>
      <c r="ED642" s="1320"/>
      <c r="EE642" s="1320"/>
      <c r="EF642" s="1320"/>
      <c r="EG642" s="1320"/>
      <c r="EH642" s="1320">
        <f t="shared" si="4"/>
        <v>588</v>
      </c>
      <c r="EI642" s="1320"/>
      <c r="EJ642" s="1320"/>
      <c r="EK642" s="1320"/>
      <c r="EL642" s="1320"/>
      <c r="EM642" s="1320" t="e">
        <f t="shared" si="5"/>
        <v>#VALUE!</v>
      </c>
      <c r="EN642" s="1320"/>
      <c r="EO642" s="1320"/>
      <c r="EP642" s="1320"/>
      <c r="EQ642" s="1320"/>
      <c r="ER642" s="1320" t="e">
        <f t="shared" si="6"/>
        <v>#VALUE!</v>
      </c>
      <c r="ES642" s="1320"/>
      <c r="ET642" s="1320"/>
      <c r="EU642" s="1320"/>
      <c r="EV642" s="1320"/>
      <c r="EW642" s="1320" t="e">
        <f t="shared" si="7"/>
        <v>#VALUE!</v>
      </c>
      <c r="EX642" s="1320"/>
      <c r="EY642" s="1320"/>
      <c r="EZ642" s="1320"/>
      <c r="FA642" s="1320"/>
    </row>
    <row r="643" spans="1:157" ht="13" customHeight="1">
      <c r="A643" s="36" t="s">
        <v>18</v>
      </c>
      <c r="B643" t="s">
        <v>1419</v>
      </c>
      <c r="G643" s="1414" t="str">
        <f>C627</f>
        <v>US Bank Perm Loan</v>
      </c>
      <c r="H643" s="1414"/>
      <c r="I643" s="1414"/>
      <c r="J643" s="1414"/>
      <c r="K643" s="1414"/>
      <c r="L643" s="1414"/>
      <c r="M643" s="1414"/>
      <c r="N643" s="1414"/>
      <c r="O643" s="1414"/>
      <c r="P643" s="1414"/>
      <c r="Q643" s="1414"/>
      <c r="R643" s="1414"/>
      <c r="S643" s="6"/>
      <c r="T643" s="36" t="s">
        <v>31</v>
      </c>
      <c r="U643" t="s">
        <v>1419</v>
      </c>
      <c r="Z643" s="1414" t="str">
        <f>C628</f>
        <v>Sponsor Loan - Tulare County REAP</v>
      </c>
      <c r="AA643" s="1414"/>
      <c r="AB643" s="1414"/>
      <c r="AC643" s="1414"/>
      <c r="AD643" s="1414"/>
      <c r="AE643" s="1414"/>
      <c r="AF643" s="1414"/>
      <c r="AG643" s="1414"/>
      <c r="AH643" s="1414"/>
      <c r="AI643" s="1414"/>
      <c r="AJ643" s="1414"/>
      <c r="AK643" s="1414"/>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0" t="e">
        <f t="shared" si="2"/>
        <v>#VALUE!</v>
      </c>
      <c r="DY643" s="1320"/>
      <c r="DZ643" s="1320"/>
      <c r="EA643" s="1320"/>
      <c r="EB643" s="1320"/>
      <c r="EC643" s="1320" t="e">
        <f t="shared" si="3"/>
        <v>#VALUE!</v>
      </c>
      <c r="ED643" s="1320"/>
      <c r="EE643" s="1320"/>
      <c r="EF643" s="1320"/>
      <c r="EG643" s="1320"/>
      <c r="EH643" s="1320" t="e">
        <f t="shared" si="4"/>
        <v>#VALUE!</v>
      </c>
      <c r="EI643" s="1320"/>
      <c r="EJ643" s="1320"/>
      <c r="EK643" s="1320"/>
      <c r="EL643" s="1320"/>
      <c r="EM643" s="1320" t="e">
        <f t="shared" si="5"/>
        <v>#VALUE!</v>
      </c>
      <c r="EN643" s="1320"/>
      <c r="EO643" s="1320"/>
      <c r="EP643" s="1320"/>
      <c r="EQ643" s="1320"/>
      <c r="ER643" s="1320" t="e">
        <f t="shared" si="6"/>
        <v>#VALUE!</v>
      </c>
      <c r="ES643" s="1320"/>
      <c r="ET643" s="1320"/>
      <c r="EU643" s="1320"/>
      <c r="EV643" s="1320"/>
      <c r="EW643" s="1320" t="e">
        <f t="shared" si="7"/>
        <v>#VALUE!</v>
      </c>
      <c r="EX643" s="1320"/>
      <c r="EY643" s="1320"/>
      <c r="EZ643" s="1320"/>
      <c r="FA643" s="1320"/>
    </row>
    <row r="644" spans="1:157" ht="13" customHeight="1">
      <c r="A644" s="17"/>
      <c r="B644" t="s">
        <v>1064</v>
      </c>
      <c r="G644" s="1369" t="s">
        <v>1420</v>
      </c>
      <c r="H644" s="1369"/>
      <c r="I644" s="1369"/>
      <c r="J644" s="1369"/>
      <c r="K644" s="1369"/>
      <c r="L644" s="1369"/>
      <c r="M644" s="1369"/>
      <c r="N644" s="1369"/>
      <c r="O644" s="1369"/>
      <c r="P644" s="1369"/>
      <c r="Q644" s="1369"/>
      <c r="R644" s="1369"/>
      <c r="S644" s="6"/>
      <c r="T644" s="17"/>
      <c r="U644" t="s">
        <v>1064</v>
      </c>
      <c r="Z644" s="1369" t="s">
        <v>1430</v>
      </c>
      <c r="AA644" s="1369"/>
      <c r="AB644" s="1369"/>
      <c r="AC644" s="1369"/>
      <c r="AD644" s="1369"/>
      <c r="AE644" s="1369"/>
      <c r="AF644" s="1369"/>
      <c r="AG644" s="1369"/>
      <c r="AH644" s="1369"/>
      <c r="AI644" s="1369"/>
      <c r="AJ644" s="1369"/>
      <c r="AK644" s="1369"/>
      <c r="AV644" s="2"/>
      <c r="AW644" s="2"/>
      <c r="AX644" s="2"/>
      <c r="AY644" s="2"/>
      <c r="AZ644" s="2"/>
      <c r="BA644" s="2"/>
      <c r="BB644" s="2"/>
      <c r="BC644" s="2"/>
      <c r="BD644" s="2"/>
      <c r="BE644" s="2"/>
      <c r="BF644" s="2"/>
      <c r="BG644" s="2"/>
      <c r="BH644" s="2"/>
      <c r="BI644" s="2"/>
      <c r="BJ644" s="2"/>
      <c r="BK644" s="2"/>
      <c r="BL644" s="2"/>
      <c r="BM644" s="2"/>
      <c r="DX644" s="1320" t="e">
        <f t="shared" si="2"/>
        <v>#VALUE!</v>
      </c>
      <c r="DY644" s="1320"/>
      <c r="DZ644" s="1320"/>
      <c r="EA644" s="1320"/>
      <c r="EB644" s="1320"/>
      <c r="EC644" s="1320" t="e">
        <f t="shared" si="3"/>
        <v>#VALUE!</v>
      </c>
      <c r="ED644" s="1320"/>
      <c r="EE644" s="1320"/>
      <c r="EF644" s="1320"/>
      <c r="EG644" s="1320"/>
      <c r="EH644" s="1320" t="e">
        <f t="shared" si="4"/>
        <v>#VALUE!</v>
      </c>
      <c r="EI644" s="1320"/>
      <c r="EJ644" s="1320"/>
      <c r="EK644" s="1320"/>
      <c r="EL644" s="1320"/>
      <c r="EM644" s="1320" t="e">
        <f t="shared" si="5"/>
        <v>#VALUE!</v>
      </c>
      <c r="EN644" s="1320"/>
      <c r="EO644" s="1320"/>
      <c r="EP644" s="1320"/>
      <c r="EQ644" s="1320"/>
      <c r="ER644" s="1320" t="e">
        <f t="shared" si="6"/>
        <v>#VALUE!</v>
      </c>
      <c r="ES644" s="1320"/>
      <c r="ET644" s="1320"/>
      <c r="EU644" s="1320"/>
      <c r="EV644" s="1320"/>
      <c r="EW644" s="1320" t="e">
        <f t="shared" si="7"/>
        <v>#VALUE!</v>
      </c>
      <c r="EX644" s="1320"/>
      <c r="EY644" s="1320"/>
      <c r="EZ644" s="1320"/>
      <c r="FA644" s="1320"/>
    </row>
    <row r="645" spans="1:157" ht="13" customHeight="1">
      <c r="A645" s="17"/>
      <c r="B645" t="s">
        <v>932</v>
      </c>
      <c r="G645" s="1369" t="s">
        <v>1421</v>
      </c>
      <c r="H645" s="1369"/>
      <c r="I645" s="1369"/>
      <c r="J645" s="1369"/>
      <c r="K645" s="1369"/>
      <c r="L645" s="1369"/>
      <c r="M645" s="1369"/>
      <c r="N645" s="1369"/>
      <c r="O645" s="1369"/>
      <c r="P645" s="1369"/>
      <c r="Q645" s="1369"/>
      <c r="R645" s="1369"/>
      <c r="T645" s="17"/>
      <c r="U645" t="s">
        <v>932</v>
      </c>
      <c r="Z645" s="1322" t="s">
        <v>1125</v>
      </c>
      <c r="AA645" s="1322"/>
      <c r="AB645" s="1322"/>
      <c r="AC645" s="1322"/>
      <c r="AD645" s="1322"/>
      <c r="AE645" s="1322"/>
      <c r="AF645" s="1322"/>
      <c r="AG645" s="1322"/>
      <c r="AH645" s="1322"/>
      <c r="AI645" s="1322"/>
      <c r="AJ645" s="1322"/>
      <c r="AK645" s="1322"/>
      <c r="AV645" s="2"/>
      <c r="AW645" s="2"/>
      <c r="AX645" s="2"/>
      <c r="AY645" s="2"/>
      <c r="AZ645" s="2"/>
      <c r="BA645" s="2"/>
      <c r="BB645" s="2"/>
      <c r="BC645" s="2"/>
      <c r="BD645" s="2"/>
      <c r="BE645" s="2"/>
      <c r="BF645" s="2"/>
      <c r="BG645" s="2"/>
      <c r="BH645" s="2"/>
      <c r="BI645" s="2"/>
      <c r="BJ645" s="2"/>
      <c r="BK645" s="2"/>
      <c r="BL645" s="2"/>
      <c r="BM645" s="2"/>
      <c r="DX645" s="1320" t="e">
        <f t="shared" si="2"/>
        <v>#VALUE!</v>
      </c>
      <c r="DY645" s="1320"/>
      <c r="DZ645" s="1320"/>
      <c r="EA645" s="1320"/>
      <c r="EB645" s="1320"/>
      <c r="EC645" s="1320" t="e">
        <f t="shared" si="3"/>
        <v>#VALUE!</v>
      </c>
      <c r="ED645" s="1320"/>
      <c r="EE645" s="1320"/>
      <c r="EF645" s="1320"/>
      <c r="EG645" s="1320"/>
      <c r="EH645" s="1320" t="e">
        <f t="shared" si="4"/>
        <v>#VALUE!</v>
      </c>
      <c r="EI645" s="1320"/>
      <c r="EJ645" s="1320"/>
      <c r="EK645" s="1320"/>
      <c r="EL645" s="1320"/>
      <c r="EM645" s="1320" t="e">
        <f t="shared" si="5"/>
        <v>#VALUE!</v>
      </c>
      <c r="EN645" s="1320"/>
      <c r="EO645" s="1320"/>
      <c r="EP645" s="1320"/>
      <c r="EQ645" s="1320"/>
      <c r="ER645" s="1320" t="e">
        <f t="shared" si="6"/>
        <v>#VALUE!</v>
      </c>
      <c r="ES645" s="1320"/>
      <c r="ET645" s="1320"/>
      <c r="EU645" s="1320"/>
      <c r="EV645" s="1320"/>
      <c r="EW645" s="1320" t="e">
        <f t="shared" si="7"/>
        <v>#VALUE!</v>
      </c>
      <c r="EX645" s="1320"/>
      <c r="EY645" s="1320"/>
      <c r="EZ645" s="1320"/>
      <c r="FA645" s="1320"/>
    </row>
    <row r="646" spans="1:157" ht="13" customHeight="1">
      <c r="A646" s="17"/>
      <c r="B646" t="s">
        <v>1422</v>
      </c>
      <c r="G646" s="1369" t="s">
        <v>1423</v>
      </c>
      <c r="H646" s="1369"/>
      <c r="I646" s="1369"/>
      <c r="J646" s="1369"/>
      <c r="K646" s="1369"/>
      <c r="L646" s="1369"/>
      <c r="M646" s="1369"/>
      <c r="N646" s="1369"/>
      <c r="O646" s="1369"/>
      <c r="P646" s="1369"/>
      <c r="Q646" s="1369"/>
      <c r="R646" s="1369"/>
      <c r="S646" s="6"/>
      <c r="T646" s="17"/>
      <c r="U646" t="s">
        <v>1422</v>
      </c>
      <c r="Z646" s="1322" t="s">
        <v>1432</v>
      </c>
      <c r="AA646" s="1322"/>
      <c r="AB646" s="1322"/>
      <c r="AC646" s="1322"/>
      <c r="AD646" s="1322"/>
      <c r="AE646" s="1322"/>
      <c r="AF646" s="1322"/>
      <c r="AG646" s="1322"/>
      <c r="AH646" s="1322"/>
      <c r="AI646" s="1322"/>
      <c r="AJ646" s="1322"/>
      <c r="AK646" s="1322"/>
      <c r="AZ646" s="2"/>
      <c r="BA646" s="2"/>
      <c r="BB646" s="2"/>
      <c r="BC646" s="2"/>
      <c r="BD646" s="2"/>
      <c r="BE646" s="2"/>
      <c r="BF646" s="2"/>
      <c r="BG646" s="2"/>
      <c r="BH646" s="2"/>
      <c r="BI646" s="2"/>
      <c r="BJ646" s="2"/>
      <c r="BK646" s="2"/>
      <c r="BL646" s="2"/>
      <c r="BM646" s="2"/>
      <c r="DX646" s="1320" t="e">
        <f t="shared" si="2"/>
        <v>#VALUE!</v>
      </c>
      <c r="DY646" s="1320"/>
      <c r="DZ646" s="1320"/>
      <c r="EA646" s="1320"/>
      <c r="EB646" s="1320"/>
      <c r="EC646" s="1320" t="e">
        <f t="shared" si="3"/>
        <v>#VALUE!</v>
      </c>
      <c r="ED646" s="1320"/>
      <c r="EE646" s="1320"/>
      <c r="EF646" s="1320"/>
      <c r="EG646" s="1320"/>
      <c r="EH646" s="1320" t="e">
        <f t="shared" si="4"/>
        <v>#VALUE!</v>
      </c>
      <c r="EI646" s="1320"/>
      <c r="EJ646" s="1320"/>
      <c r="EK646" s="1320"/>
      <c r="EL646" s="1320"/>
      <c r="EM646" s="1320" t="e">
        <f t="shared" si="5"/>
        <v>#VALUE!</v>
      </c>
      <c r="EN646" s="1320"/>
      <c r="EO646" s="1320"/>
      <c r="EP646" s="1320"/>
      <c r="EQ646" s="1320"/>
      <c r="ER646" s="1320" t="e">
        <f t="shared" si="6"/>
        <v>#VALUE!</v>
      </c>
      <c r="ES646" s="1320"/>
      <c r="ET646" s="1320"/>
      <c r="EU646" s="1320"/>
      <c r="EV646" s="1320"/>
      <c r="EW646" s="1320" t="e">
        <f t="shared" si="7"/>
        <v>#VALUE!</v>
      </c>
      <c r="EX646" s="1320"/>
      <c r="EY646" s="1320"/>
      <c r="EZ646" s="1320"/>
      <c r="FA646" s="1320"/>
    </row>
    <row r="647" spans="1:157" ht="13" customHeight="1">
      <c r="A647" s="17"/>
      <c r="B647" t="s">
        <v>826</v>
      </c>
      <c r="G647" s="1421" t="s">
        <v>1424</v>
      </c>
      <c r="H647" s="1421"/>
      <c r="I647" s="1421"/>
      <c r="J647" s="1421"/>
      <c r="K647" s="1421"/>
      <c r="L647" s="1421"/>
      <c r="O647" s="815" t="s">
        <v>1072</v>
      </c>
      <c r="P647" s="1370"/>
      <c r="Q647" s="1370"/>
      <c r="R647" s="1370"/>
      <c r="S647" s="8"/>
      <c r="T647" s="17"/>
      <c r="U647" t="s">
        <v>826</v>
      </c>
      <c r="Z647" s="1421" t="s">
        <v>1433</v>
      </c>
      <c r="AA647" s="1421"/>
      <c r="AB647" s="1421"/>
      <c r="AC647" s="1421"/>
      <c r="AD647" s="1421"/>
      <c r="AE647" s="1421"/>
      <c r="AH647" s="815" t="s">
        <v>1072</v>
      </c>
      <c r="AI647" s="1370"/>
      <c r="AJ647" s="1370"/>
      <c r="AK647" s="1370"/>
      <c r="AZ647" s="2"/>
      <c r="BA647" s="2"/>
      <c r="BB647" s="2"/>
      <c r="BC647" s="2"/>
      <c r="BD647" s="2"/>
      <c r="BE647" s="2"/>
      <c r="BF647" s="2"/>
      <c r="BG647" s="2"/>
      <c r="BH647" s="2"/>
      <c r="BI647" s="2"/>
      <c r="BJ647" s="2"/>
      <c r="BK647" s="2"/>
      <c r="BL647" s="2"/>
      <c r="BM647" s="2"/>
      <c r="DX647" s="1320" t="e">
        <f t="shared" si="2"/>
        <v>#VALUE!</v>
      </c>
      <c r="DY647" s="1320"/>
      <c r="DZ647" s="1320"/>
      <c r="EA647" s="1320"/>
      <c r="EB647" s="1320"/>
      <c r="EC647" s="1320" t="e">
        <f t="shared" si="3"/>
        <v>#VALUE!</v>
      </c>
      <c r="ED647" s="1320"/>
      <c r="EE647" s="1320"/>
      <c r="EF647" s="1320"/>
      <c r="EG647" s="1320"/>
      <c r="EH647" s="1320" t="e">
        <f t="shared" si="4"/>
        <v>#VALUE!</v>
      </c>
      <c r="EI647" s="1320"/>
      <c r="EJ647" s="1320"/>
      <c r="EK647" s="1320"/>
      <c r="EL647" s="1320"/>
      <c r="EM647" s="1320" t="e">
        <f t="shared" si="5"/>
        <v>#VALUE!</v>
      </c>
      <c r="EN647" s="1320"/>
      <c r="EO647" s="1320"/>
      <c r="EP647" s="1320"/>
      <c r="EQ647" s="1320"/>
      <c r="ER647" s="1320" t="e">
        <f t="shared" si="6"/>
        <v>#VALUE!</v>
      </c>
      <c r="ES647" s="1320"/>
      <c r="ET647" s="1320"/>
      <c r="EU647" s="1320"/>
      <c r="EV647" s="1320"/>
      <c r="EW647" s="1320" t="e">
        <f t="shared" si="7"/>
        <v>#VALUE!</v>
      </c>
      <c r="EX647" s="1320"/>
      <c r="EY647" s="1320"/>
      <c r="EZ647" s="1320"/>
      <c r="FA647" s="1320"/>
    </row>
    <row r="648" spans="1:157" ht="13" customHeight="1">
      <c r="A648" s="17"/>
      <c r="B648" t="s">
        <v>1425</v>
      </c>
      <c r="H648" s="1369" t="s">
        <v>1458</v>
      </c>
      <c r="I648" s="1369"/>
      <c r="J648" s="1369"/>
      <c r="K648" s="1369"/>
      <c r="L648" s="1369"/>
      <c r="M648" s="1369"/>
      <c r="N648" s="1369"/>
      <c r="O648" s="1369"/>
      <c r="P648" s="1369"/>
      <c r="Q648" s="1369"/>
      <c r="R648" s="1369"/>
      <c r="S648" s="6"/>
      <c r="T648" s="17"/>
      <c r="U648" t="s">
        <v>1425</v>
      </c>
      <c r="AA648" s="1369" t="s">
        <v>1434</v>
      </c>
      <c r="AB648" s="1369"/>
      <c r="AC648" s="1369"/>
      <c r="AD648" s="1369"/>
      <c r="AE648" s="1369"/>
      <c r="AF648" s="1369"/>
      <c r="AG648" s="1369"/>
      <c r="AH648" s="1369"/>
      <c r="AI648" s="1369"/>
      <c r="AJ648" s="1369"/>
      <c r="AK648" s="1369"/>
      <c r="AZ648" s="2"/>
      <c r="BA648" s="2"/>
      <c r="BB648" s="2"/>
      <c r="BC648" s="2"/>
      <c r="BD648" s="2"/>
      <c r="BE648" s="2"/>
      <c r="BF648" s="2"/>
      <c r="BG648" s="2"/>
      <c r="BH648" s="2"/>
      <c r="BI648" s="2"/>
      <c r="BJ648" s="2"/>
      <c r="BK648" s="2"/>
      <c r="BL648" s="2"/>
      <c r="BM648" s="2"/>
      <c r="DX648" s="1320" t="e">
        <f t="shared" si="2"/>
        <v>#VALUE!</v>
      </c>
      <c r="DY648" s="1320"/>
      <c r="DZ648" s="1320"/>
      <c r="EA648" s="1320"/>
      <c r="EB648" s="1320"/>
      <c r="EC648" s="1320" t="e">
        <f t="shared" si="3"/>
        <v>#VALUE!</v>
      </c>
      <c r="ED648" s="1320"/>
      <c r="EE648" s="1320"/>
      <c r="EF648" s="1320"/>
      <c r="EG648" s="1320"/>
      <c r="EH648" s="1320" t="e">
        <f t="shared" si="4"/>
        <v>#VALUE!</v>
      </c>
      <c r="EI648" s="1320"/>
      <c r="EJ648" s="1320"/>
      <c r="EK648" s="1320"/>
      <c r="EL648" s="1320"/>
      <c r="EM648" s="1320" t="e">
        <f t="shared" si="5"/>
        <v>#VALUE!</v>
      </c>
      <c r="EN648" s="1320"/>
      <c r="EO648" s="1320"/>
      <c r="EP648" s="1320"/>
      <c r="EQ648" s="1320"/>
      <c r="ER648" s="1320" t="e">
        <f t="shared" si="6"/>
        <v>#VALUE!</v>
      </c>
      <c r="ES648" s="1320"/>
      <c r="ET648" s="1320"/>
      <c r="EU648" s="1320"/>
      <c r="EV648" s="1320"/>
      <c r="EW648" s="1320" t="e">
        <f t="shared" si="7"/>
        <v>#VALUE!</v>
      </c>
      <c r="EX648" s="1320"/>
      <c r="EY648" s="1320"/>
      <c r="EZ648" s="1320"/>
      <c r="FA648" s="1320"/>
    </row>
    <row r="649" spans="1:157" ht="13" customHeight="1">
      <c r="A649" s="17"/>
      <c r="B649" t="s">
        <v>1429</v>
      </c>
      <c r="N649" s="1353" t="s">
        <v>847</v>
      </c>
      <c r="O649" s="1353"/>
      <c r="T649" s="17"/>
      <c r="U649" t="s">
        <v>1429</v>
      </c>
      <c r="AG649" s="1353" t="s">
        <v>847</v>
      </c>
      <c r="AH649" s="1353"/>
      <c r="AZ649" s="2"/>
      <c r="BA649" s="2"/>
      <c r="BB649" s="2"/>
      <c r="BC649" s="2"/>
      <c r="BD649" s="2"/>
      <c r="BE649" s="2"/>
      <c r="BF649" s="2"/>
      <c r="BG649" s="2"/>
      <c r="BH649" s="2"/>
      <c r="BI649" s="2"/>
      <c r="BJ649" s="2"/>
      <c r="BK649" s="2"/>
      <c r="BL649" s="2"/>
      <c r="BM649" s="2"/>
      <c r="DX649" s="1320" t="e">
        <f t="shared" si="2"/>
        <v>#VALUE!</v>
      </c>
      <c r="DY649" s="1320"/>
      <c r="DZ649" s="1320"/>
      <c r="EA649" s="1320"/>
      <c r="EB649" s="1320"/>
      <c r="EC649" s="1320" t="e">
        <f t="shared" si="3"/>
        <v>#VALUE!</v>
      </c>
      <c r="ED649" s="1320"/>
      <c r="EE649" s="1320"/>
      <c r="EF649" s="1320"/>
      <c r="EG649" s="1320"/>
      <c r="EH649" s="1320" t="e">
        <f t="shared" si="4"/>
        <v>#VALUE!</v>
      </c>
      <c r="EI649" s="1320"/>
      <c r="EJ649" s="1320"/>
      <c r="EK649" s="1320"/>
      <c r="EL649" s="1320"/>
      <c r="EM649" s="1320" t="e">
        <f t="shared" si="5"/>
        <v>#VALUE!</v>
      </c>
      <c r="EN649" s="1320"/>
      <c r="EO649" s="1320"/>
      <c r="EP649" s="1320"/>
      <c r="EQ649" s="1320"/>
      <c r="ER649" s="1320" t="e">
        <f t="shared" si="6"/>
        <v>#VALUE!</v>
      </c>
      <c r="ES649" s="1320"/>
      <c r="ET649" s="1320"/>
      <c r="EU649" s="1320"/>
      <c r="EV649" s="1320"/>
      <c r="EW649" s="1320" t="e">
        <f t="shared" si="7"/>
        <v>#VALUE!</v>
      </c>
      <c r="EX649" s="1320"/>
      <c r="EY649" s="1320"/>
      <c r="EZ649" s="1320"/>
      <c r="FA649" s="1320"/>
    </row>
    <row r="650" spans="1:157" ht="13" customHeight="1">
      <c r="A650" s="17"/>
      <c r="T650" s="17"/>
      <c r="AZ650" s="2"/>
      <c r="BA650" s="2"/>
      <c r="BB650" s="2"/>
      <c r="BC650" s="2"/>
      <c r="BD650" s="2"/>
      <c r="BE650" s="2"/>
      <c r="BF650" s="2"/>
      <c r="BG650" s="2"/>
      <c r="BH650" s="2"/>
      <c r="BI650" s="2"/>
      <c r="BJ650" s="2"/>
      <c r="BK650" s="2"/>
      <c r="BL650" s="2"/>
      <c r="BM650" s="2"/>
      <c r="DX650" s="1320" t="e">
        <f t="shared" si="2"/>
        <v>#VALUE!</v>
      </c>
      <c r="DY650" s="1320"/>
      <c r="DZ650" s="1320"/>
      <c r="EA650" s="1320"/>
      <c r="EB650" s="1320"/>
      <c r="EC650" s="1320" t="e">
        <f t="shared" si="3"/>
        <v>#VALUE!</v>
      </c>
      <c r="ED650" s="1320"/>
      <c r="EE650" s="1320"/>
      <c r="EF650" s="1320"/>
      <c r="EG650" s="1320"/>
      <c r="EH650" s="1320" t="e">
        <f t="shared" si="4"/>
        <v>#VALUE!</v>
      </c>
      <c r="EI650" s="1320"/>
      <c r="EJ650" s="1320"/>
      <c r="EK650" s="1320"/>
      <c r="EL650" s="1320"/>
      <c r="EM650" s="1320" t="e">
        <f t="shared" si="5"/>
        <v>#VALUE!</v>
      </c>
      <c r="EN650" s="1320"/>
      <c r="EO650" s="1320"/>
      <c r="EP650" s="1320"/>
      <c r="EQ650" s="1320"/>
      <c r="ER650" s="1320" t="e">
        <f t="shared" si="6"/>
        <v>#VALUE!</v>
      </c>
      <c r="ES650" s="1320"/>
      <c r="ET650" s="1320"/>
      <c r="EU650" s="1320"/>
      <c r="EV650" s="1320"/>
      <c r="EW650" s="1320" t="e">
        <f t="shared" si="7"/>
        <v>#VALUE!</v>
      </c>
      <c r="EX650" s="1320"/>
      <c r="EY650" s="1320"/>
      <c r="EZ650" s="1320"/>
      <c r="FA650" s="1320"/>
    </row>
    <row r="651" spans="1:157" ht="13" customHeight="1">
      <c r="A651" s="36" t="s">
        <v>39</v>
      </c>
      <c r="B651" t="s">
        <v>1419</v>
      </c>
      <c r="G651" s="1414" t="str">
        <f>C629</f>
        <v>Accrued Interest - Sponsor Loan - Tulare County REAP</v>
      </c>
      <c r="H651" s="1414"/>
      <c r="I651" s="1414"/>
      <c r="J651" s="1414"/>
      <c r="K651" s="1414"/>
      <c r="L651" s="1414"/>
      <c r="M651" s="1414"/>
      <c r="N651" s="1414"/>
      <c r="O651" s="1414"/>
      <c r="P651" s="1414"/>
      <c r="Q651" s="1414"/>
      <c r="R651" s="1414"/>
      <c r="T651" s="36" t="s">
        <v>82</v>
      </c>
      <c r="U651" t="s">
        <v>1419</v>
      </c>
      <c r="Z651" s="1414" t="str">
        <f>C630</f>
        <v>HCD - NHTF</v>
      </c>
      <c r="AA651" s="1414"/>
      <c r="AB651" s="1414"/>
      <c r="AC651" s="1414"/>
      <c r="AD651" s="1414"/>
      <c r="AE651" s="1414"/>
      <c r="AF651" s="1414"/>
      <c r="AG651" s="1414"/>
      <c r="AH651" s="1414"/>
      <c r="AI651" s="1414"/>
      <c r="AJ651" s="1414"/>
      <c r="AK651" s="1414"/>
      <c r="AZ651" s="2"/>
      <c r="BA651" s="2"/>
      <c r="BB651" s="2"/>
      <c r="BC651" s="2"/>
      <c r="BD651" s="2"/>
      <c r="BE651" s="2"/>
      <c r="BF651" s="2"/>
      <c r="BG651" s="2"/>
      <c r="BH651" s="2"/>
      <c r="BI651" s="2"/>
      <c r="BJ651" s="2"/>
      <c r="BK651" s="2"/>
      <c r="BL651" s="2"/>
      <c r="BM651" s="2"/>
      <c r="DX651" s="1320" t="e">
        <f t="shared" si="2"/>
        <v>#VALUE!</v>
      </c>
      <c r="DY651" s="1320"/>
      <c r="DZ651" s="1320"/>
      <c r="EA651" s="1320"/>
      <c r="EB651" s="1320"/>
      <c r="EC651" s="1320" t="e">
        <f t="shared" si="3"/>
        <v>#VALUE!</v>
      </c>
      <c r="ED651" s="1320"/>
      <c r="EE651" s="1320"/>
      <c r="EF651" s="1320"/>
      <c r="EG651" s="1320"/>
      <c r="EH651" s="1320" t="e">
        <f t="shared" si="4"/>
        <v>#VALUE!</v>
      </c>
      <c r="EI651" s="1320"/>
      <c r="EJ651" s="1320"/>
      <c r="EK651" s="1320"/>
      <c r="EL651" s="1320"/>
      <c r="EM651" s="1320" t="e">
        <f t="shared" si="5"/>
        <v>#VALUE!</v>
      </c>
      <c r="EN651" s="1320"/>
      <c r="EO651" s="1320"/>
      <c r="EP651" s="1320"/>
      <c r="EQ651" s="1320"/>
      <c r="ER651" s="1320" t="e">
        <f t="shared" si="6"/>
        <v>#VALUE!</v>
      </c>
      <c r="ES651" s="1320"/>
      <c r="ET651" s="1320"/>
      <c r="EU651" s="1320"/>
      <c r="EV651" s="1320"/>
      <c r="EW651" s="1320" t="e">
        <f t="shared" si="7"/>
        <v>#VALUE!</v>
      </c>
      <c r="EX651" s="1320"/>
      <c r="EY651" s="1320"/>
      <c r="EZ651" s="1320"/>
      <c r="FA651" s="1320"/>
    </row>
    <row r="652" spans="1:157" ht="13" customHeight="1">
      <c r="A652" s="17"/>
      <c r="B652" t="s">
        <v>1064</v>
      </c>
      <c r="G652" s="1369" t="s">
        <v>1430</v>
      </c>
      <c r="H652" s="1369"/>
      <c r="I652" s="1369"/>
      <c r="J652" s="1369"/>
      <c r="K652" s="1369"/>
      <c r="L652" s="1369"/>
      <c r="M652" s="1369"/>
      <c r="N652" s="1369"/>
      <c r="O652" s="1369"/>
      <c r="P652" s="1369"/>
      <c r="Q652" s="1369"/>
      <c r="R652" s="1369"/>
      <c r="T652" s="17"/>
      <c r="U652" t="s">
        <v>1064</v>
      </c>
      <c r="Z652" s="1369" t="s">
        <v>1435</v>
      </c>
      <c r="AA652" s="1369"/>
      <c r="AB652" s="1369"/>
      <c r="AC652" s="1369"/>
      <c r="AD652" s="1369"/>
      <c r="AE652" s="1369"/>
      <c r="AF652" s="1369"/>
      <c r="AG652" s="1369"/>
      <c r="AH652" s="1369"/>
      <c r="AI652" s="1369"/>
      <c r="AJ652" s="1369"/>
      <c r="AK652" s="1369"/>
      <c r="AZ652" s="2"/>
      <c r="BA652" s="2"/>
      <c r="BB652" s="2"/>
      <c r="BC652" s="2"/>
      <c r="BD652" s="2"/>
      <c r="BE652" s="2"/>
      <c r="BF652" s="2"/>
      <c r="BG652" s="2"/>
      <c r="BH652" s="2"/>
      <c r="BI652" s="2"/>
      <c r="BJ652" s="2"/>
      <c r="BK652" s="2"/>
      <c r="BL652" s="2"/>
      <c r="BM652" s="2"/>
      <c r="DX652" s="1320" t="e">
        <f t="shared" si="2"/>
        <v>#VALUE!</v>
      </c>
      <c r="DY652" s="1320"/>
      <c r="DZ652" s="1320"/>
      <c r="EA652" s="1320"/>
      <c r="EB652" s="1320"/>
      <c r="EC652" s="1320" t="e">
        <f t="shared" si="3"/>
        <v>#VALUE!</v>
      </c>
      <c r="ED652" s="1320"/>
      <c r="EE652" s="1320"/>
      <c r="EF652" s="1320"/>
      <c r="EG652" s="1320"/>
      <c r="EH652" s="1320" t="e">
        <f t="shared" si="4"/>
        <v>#VALUE!</v>
      </c>
      <c r="EI652" s="1320"/>
      <c r="EJ652" s="1320"/>
      <c r="EK652" s="1320"/>
      <c r="EL652" s="1320"/>
      <c r="EM652" s="1320" t="e">
        <f t="shared" si="5"/>
        <v>#VALUE!</v>
      </c>
      <c r="EN652" s="1320"/>
      <c r="EO652" s="1320"/>
      <c r="EP652" s="1320"/>
      <c r="EQ652" s="1320"/>
      <c r="ER652" s="1320" t="e">
        <f t="shared" si="6"/>
        <v>#VALUE!</v>
      </c>
      <c r="ES652" s="1320"/>
      <c r="ET652" s="1320"/>
      <c r="EU652" s="1320"/>
      <c r="EV652" s="1320"/>
      <c r="EW652" s="1320" t="e">
        <f t="shared" si="7"/>
        <v>#VALUE!</v>
      </c>
      <c r="EX652" s="1320"/>
      <c r="EY652" s="1320"/>
      <c r="EZ652" s="1320"/>
      <c r="FA652" s="1320"/>
    </row>
    <row r="653" spans="1:157" ht="13" customHeight="1">
      <c r="A653" s="17"/>
      <c r="B653" t="s">
        <v>932</v>
      </c>
      <c r="G653" s="1322" t="s">
        <v>1125</v>
      </c>
      <c r="H653" s="1322"/>
      <c r="I653" s="1322"/>
      <c r="J653" s="1322"/>
      <c r="K653" s="1322"/>
      <c r="L653" s="1322"/>
      <c r="M653" s="1322"/>
      <c r="N653" s="1322"/>
      <c r="O653" s="1322"/>
      <c r="P653" s="1322"/>
      <c r="Q653" s="1322"/>
      <c r="R653" s="1322"/>
      <c r="T653" s="17"/>
      <c r="U653" t="s">
        <v>932</v>
      </c>
      <c r="Z653" s="1322" t="s">
        <v>1127</v>
      </c>
      <c r="AA653" s="1322"/>
      <c r="AB653" s="1322"/>
      <c r="AC653" s="1322"/>
      <c r="AD653" s="1322"/>
      <c r="AE653" s="1322"/>
      <c r="AF653" s="1322"/>
      <c r="AG653" s="1322"/>
      <c r="AH653" s="1322"/>
      <c r="AI653" s="1322"/>
      <c r="AJ653" s="1322"/>
      <c r="AK653" s="1322"/>
      <c r="AZ653" s="2"/>
      <c r="BA653" s="2"/>
      <c r="BB653" s="2"/>
      <c r="BC653" s="2"/>
      <c r="BD653" s="2"/>
      <c r="BE653" s="2"/>
      <c r="BF653" s="2"/>
      <c r="BG653" s="2"/>
      <c r="BH653" s="2"/>
      <c r="BI653" s="2"/>
      <c r="BJ653" s="2"/>
      <c r="BK653" s="2"/>
      <c r="BL653" s="2"/>
      <c r="BM653" s="2"/>
      <c r="DX653" s="1320" t="e">
        <f t="shared" si="2"/>
        <v>#VALUE!</v>
      </c>
      <c r="DY653" s="1320"/>
      <c r="DZ653" s="1320"/>
      <c r="EA653" s="1320"/>
      <c r="EB653" s="1320"/>
      <c r="EC653" s="1320" t="e">
        <f t="shared" si="3"/>
        <v>#VALUE!</v>
      </c>
      <c r="ED653" s="1320"/>
      <c r="EE653" s="1320"/>
      <c r="EF653" s="1320"/>
      <c r="EG653" s="1320"/>
      <c r="EH653" s="1320" t="e">
        <f t="shared" si="4"/>
        <v>#VALUE!</v>
      </c>
      <c r="EI653" s="1320"/>
      <c r="EJ653" s="1320"/>
      <c r="EK653" s="1320"/>
      <c r="EL653" s="1320"/>
      <c r="EM653" s="1320" t="e">
        <f t="shared" si="5"/>
        <v>#VALUE!</v>
      </c>
      <c r="EN653" s="1320"/>
      <c r="EO653" s="1320"/>
      <c r="EP653" s="1320"/>
      <c r="EQ653" s="1320"/>
      <c r="ER653" s="1320" t="e">
        <f t="shared" si="6"/>
        <v>#VALUE!</v>
      </c>
      <c r="ES653" s="1320"/>
      <c r="ET653" s="1320"/>
      <c r="EU653" s="1320"/>
      <c r="EV653" s="1320"/>
      <c r="EW653" s="1320" t="e">
        <f t="shared" si="7"/>
        <v>#VALUE!</v>
      </c>
      <c r="EX653" s="1320"/>
      <c r="EY653" s="1320"/>
      <c r="EZ653" s="1320"/>
      <c r="FA653" s="1320"/>
    </row>
    <row r="654" spans="1:157" ht="13" customHeight="1">
      <c r="A654" s="17"/>
      <c r="B654" t="s">
        <v>1422</v>
      </c>
      <c r="G654" s="1322" t="s">
        <v>1432</v>
      </c>
      <c r="H654" s="1322"/>
      <c r="I654" s="1322"/>
      <c r="J654" s="1322"/>
      <c r="K654" s="1322"/>
      <c r="L654" s="1322"/>
      <c r="M654" s="1322"/>
      <c r="N654" s="1322"/>
      <c r="O654" s="1322"/>
      <c r="P654" s="1322"/>
      <c r="Q654" s="1322"/>
      <c r="R654" s="1322"/>
      <c r="T654" s="17"/>
      <c r="U654" t="s">
        <v>1422</v>
      </c>
      <c r="Z654" s="1322" t="s">
        <v>1436</v>
      </c>
      <c r="AA654" s="1322"/>
      <c r="AB654" s="1322"/>
      <c r="AC654" s="1322"/>
      <c r="AD654" s="1322"/>
      <c r="AE654" s="1322"/>
      <c r="AF654" s="1322"/>
      <c r="AG654" s="1322"/>
      <c r="AH654" s="1322"/>
      <c r="AI654" s="1322"/>
      <c r="AJ654" s="1322"/>
      <c r="AK654" s="1322"/>
      <c r="AZ654" s="2"/>
      <c r="BA654" s="2"/>
      <c r="BB654" s="2"/>
      <c r="BC654" s="2"/>
      <c r="BD654" s="2"/>
      <c r="BE654" s="2"/>
      <c r="BF654" s="2"/>
      <c r="BG654" s="2"/>
      <c r="BH654" s="2"/>
      <c r="BI654" s="2"/>
      <c r="BJ654" s="2"/>
      <c r="BK654" s="2"/>
      <c r="BL654" s="2"/>
      <c r="BM654" s="2"/>
      <c r="DX654" s="1320" t="e">
        <f t="shared" si="2"/>
        <v>#VALUE!</v>
      </c>
      <c r="DY654" s="1320"/>
      <c r="DZ654" s="1320"/>
      <c r="EA654" s="1320"/>
      <c r="EB654" s="1320"/>
      <c r="EC654" s="1320" t="e">
        <f t="shared" si="3"/>
        <v>#VALUE!</v>
      </c>
      <c r="ED654" s="1320"/>
      <c r="EE654" s="1320"/>
      <c r="EF654" s="1320"/>
      <c r="EG654" s="1320"/>
      <c r="EH654" s="1320" t="e">
        <f t="shared" si="4"/>
        <v>#VALUE!</v>
      </c>
      <c r="EI654" s="1320"/>
      <c r="EJ654" s="1320"/>
      <c r="EK654" s="1320"/>
      <c r="EL654" s="1320"/>
      <c r="EM654" s="1320" t="e">
        <f t="shared" si="5"/>
        <v>#VALUE!</v>
      </c>
      <c r="EN654" s="1320"/>
      <c r="EO654" s="1320"/>
      <c r="EP654" s="1320"/>
      <c r="EQ654" s="1320"/>
      <c r="ER654" s="1320" t="e">
        <f t="shared" si="6"/>
        <v>#VALUE!</v>
      </c>
      <c r="ES654" s="1320"/>
      <c r="ET654" s="1320"/>
      <c r="EU654" s="1320"/>
      <c r="EV654" s="1320"/>
      <c r="EW654" s="1320" t="e">
        <f t="shared" si="7"/>
        <v>#VALUE!</v>
      </c>
      <c r="EX654" s="1320"/>
      <c r="EY654" s="1320"/>
      <c r="EZ654" s="1320"/>
      <c r="FA654" s="1320"/>
    </row>
    <row r="655" spans="1:157" ht="13" customHeight="1">
      <c r="A655" s="17"/>
      <c r="B655" t="s">
        <v>826</v>
      </c>
      <c r="G655" s="1421" t="s">
        <v>1433</v>
      </c>
      <c r="H655" s="1421"/>
      <c r="I655" s="1421"/>
      <c r="J655" s="1421"/>
      <c r="K655" s="1421"/>
      <c r="L655" s="1421"/>
      <c r="O655" s="815" t="s">
        <v>1072</v>
      </c>
      <c r="P655" s="1370"/>
      <c r="Q655" s="1370"/>
      <c r="R655" s="1370"/>
      <c r="T655" s="17"/>
      <c r="U655" t="s">
        <v>826</v>
      </c>
      <c r="Z655" s="1421" t="s">
        <v>1437</v>
      </c>
      <c r="AA655" s="1421"/>
      <c r="AB655" s="1421"/>
      <c r="AC655" s="1421"/>
      <c r="AD655" s="1421"/>
      <c r="AE655" s="1421"/>
      <c r="AH655" s="815" t="s">
        <v>1072</v>
      </c>
      <c r="AI655" s="1370"/>
      <c r="AJ655" s="1370"/>
      <c r="AK655" s="1370"/>
      <c r="AZ655" s="2"/>
      <c r="BA655" s="2"/>
      <c r="BB655" s="2"/>
      <c r="BC655" s="2"/>
      <c r="BD655" s="2"/>
      <c r="BE655" s="2"/>
      <c r="BF655" s="2"/>
      <c r="BG655" s="2"/>
      <c r="BH655" s="2"/>
      <c r="BI655" s="2"/>
      <c r="BJ655" s="2"/>
      <c r="BK655" s="2"/>
      <c r="BL655" s="2"/>
      <c r="BM655" s="2"/>
      <c r="DX655" s="1320" t="e">
        <f t="shared" si="2"/>
        <v>#VALUE!</v>
      </c>
      <c r="DY655" s="1320"/>
      <c r="DZ655" s="1320"/>
      <c r="EA655" s="1320"/>
      <c r="EB655" s="1320"/>
      <c r="EC655" s="1320" t="e">
        <f t="shared" si="3"/>
        <v>#VALUE!</v>
      </c>
      <c r="ED655" s="1320"/>
      <c r="EE655" s="1320"/>
      <c r="EF655" s="1320"/>
      <c r="EG655" s="1320"/>
      <c r="EH655" s="1320" t="e">
        <f t="shared" si="4"/>
        <v>#VALUE!</v>
      </c>
      <c r="EI655" s="1320"/>
      <c r="EJ655" s="1320"/>
      <c r="EK655" s="1320"/>
      <c r="EL655" s="1320"/>
      <c r="EM655" s="1320" t="e">
        <f t="shared" si="5"/>
        <v>#VALUE!</v>
      </c>
      <c r="EN655" s="1320"/>
      <c r="EO655" s="1320"/>
      <c r="EP655" s="1320"/>
      <c r="EQ655" s="1320"/>
      <c r="ER655" s="1320" t="e">
        <f t="shared" si="6"/>
        <v>#VALUE!</v>
      </c>
      <c r="ES655" s="1320"/>
      <c r="ET655" s="1320"/>
      <c r="EU655" s="1320"/>
      <c r="EV655" s="1320"/>
      <c r="EW655" s="1320" t="e">
        <f t="shared" si="7"/>
        <v>#VALUE!</v>
      </c>
      <c r="EX655" s="1320"/>
      <c r="EY655" s="1320"/>
      <c r="EZ655" s="1320"/>
      <c r="FA655" s="1320"/>
    </row>
    <row r="656" spans="1:157" ht="13" customHeight="1">
      <c r="A656" s="17"/>
      <c r="B656" t="s">
        <v>1425</v>
      </c>
      <c r="H656" s="1369"/>
      <c r="I656" s="1369"/>
      <c r="J656" s="1369"/>
      <c r="K656" s="1369"/>
      <c r="L656" s="1369"/>
      <c r="M656" s="1369"/>
      <c r="N656" s="1369"/>
      <c r="O656" s="1369"/>
      <c r="P656" s="1369"/>
      <c r="Q656" s="1369"/>
      <c r="R656" s="1369"/>
      <c r="T656" s="17"/>
      <c r="U656" t="s">
        <v>1425</v>
      </c>
      <c r="AA656" s="1369" t="s">
        <v>1438</v>
      </c>
      <c r="AB656" s="1369"/>
      <c r="AC656" s="1369"/>
      <c r="AD656" s="1369"/>
      <c r="AE656" s="1369"/>
      <c r="AF656" s="1369"/>
      <c r="AG656" s="1369"/>
      <c r="AH656" s="1369"/>
      <c r="AI656" s="1369"/>
      <c r="AJ656" s="1369"/>
      <c r="AK656" s="1369"/>
      <c r="AZ656" s="2"/>
      <c r="BA656" s="2"/>
      <c r="BB656" s="2"/>
      <c r="BC656" s="2"/>
      <c r="BD656" s="2"/>
      <c r="BE656" s="2"/>
      <c r="BF656" s="2"/>
      <c r="BG656" s="2"/>
      <c r="BH656" s="2"/>
      <c r="BI656" s="2"/>
      <c r="BJ656" s="2"/>
      <c r="BK656" s="2"/>
      <c r="BL656" s="2"/>
      <c r="BM656" s="2"/>
      <c r="DX656" s="1320" t="e">
        <f t="shared" si="2"/>
        <v>#VALUE!</v>
      </c>
      <c r="DY656" s="1320"/>
      <c r="DZ656" s="1320"/>
      <c r="EA656" s="1320"/>
      <c r="EB656" s="1320"/>
      <c r="EC656" s="1320" t="e">
        <f t="shared" si="3"/>
        <v>#VALUE!</v>
      </c>
      <c r="ED656" s="1320"/>
      <c r="EE656" s="1320"/>
      <c r="EF656" s="1320"/>
      <c r="EG656" s="1320"/>
      <c r="EH656" s="1320" t="e">
        <f t="shared" si="4"/>
        <v>#VALUE!</v>
      </c>
      <c r="EI656" s="1320"/>
      <c r="EJ656" s="1320"/>
      <c r="EK656" s="1320"/>
      <c r="EL656" s="1320"/>
      <c r="EM656" s="1320" t="e">
        <f t="shared" si="5"/>
        <v>#VALUE!</v>
      </c>
      <c r="EN656" s="1320"/>
      <c r="EO656" s="1320"/>
      <c r="EP656" s="1320"/>
      <c r="EQ656" s="1320"/>
      <c r="ER656" s="1320" t="e">
        <f t="shared" si="6"/>
        <v>#VALUE!</v>
      </c>
      <c r="ES656" s="1320"/>
      <c r="ET656" s="1320"/>
      <c r="EU656" s="1320"/>
      <c r="EV656" s="1320"/>
      <c r="EW656" s="1320" t="e">
        <f t="shared" si="7"/>
        <v>#VALUE!</v>
      </c>
      <c r="EX656" s="1320"/>
      <c r="EY656" s="1320"/>
      <c r="EZ656" s="1320"/>
      <c r="FA656" s="1320"/>
    </row>
    <row r="657" spans="1:157" ht="13" customHeight="1">
      <c r="A657" s="17"/>
      <c r="B657" t="s">
        <v>1429</v>
      </c>
      <c r="N657" s="1353" t="s">
        <v>847</v>
      </c>
      <c r="O657" s="1353"/>
      <c r="T657" s="17"/>
      <c r="U657" t="s">
        <v>1429</v>
      </c>
      <c r="AG657" s="1353" t="s">
        <v>847</v>
      </c>
      <c r="AH657" s="1353"/>
      <c r="AZ657" s="2"/>
      <c r="BA657" s="2"/>
      <c r="BB657" s="2"/>
      <c r="BC657" s="2"/>
      <c r="BD657" s="2"/>
      <c r="BE657" s="2"/>
      <c r="BF657" s="2"/>
      <c r="BG657" s="2"/>
      <c r="BH657" s="2"/>
      <c r="BI657" s="2"/>
      <c r="BJ657" s="2"/>
      <c r="BK657" s="2"/>
      <c r="BL657" s="2"/>
      <c r="BM657" s="2"/>
      <c r="DX657" s="1320" t="e">
        <f t="shared" si="2"/>
        <v>#VALUE!</v>
      </c>
      <c r="DY657" s="1320"/>
      <c r="DZ657" s="1320"/>
      <c r="EA657" s="1320"/>
      <c r="EB657" s="1320"/>
      <c r="EC657" s="1320" t="e">
        <f t="shared" si="3"/>
        <v>#VALUE!</v>
      </c>
      <c r="ED657" s="1320"/>
      <c r="EE657" s="1320"/>
      <c r="EF657" s="1320"/>
      <c r="EG657" s="1320"/>
      <c r="EH657" s="1320" t="e">
        <f t="shared" si="4"/>
        <v>#VALUE!</v>
      </c>
      <c r="EI657" s="1320"/>
      <c r="EJ657" s="1320"/>
      <c r="EK657" s="1320"/>
      <c r="EL657" s="1320"/>
      <c r="EM657" s="1320" t="e">
        <f t="shared" si="5"/>
        <v>#VALUE!</v>
      </c>
      <c r="EN657" s="1320"/>
      <c r="EO657" s="1320"/>
      <c r="EP657" s="1320"/>
      <c r="EQ657" s="1320"/>
      <c r="ER657" s="1320" t="e">
        <f t="shared" si="6"/>
        <v>#VALUE!</v>
      </c>
      <c r="ES657" s="1320"/>
      <c r="ET657" s="1320"/>
      <c r="EU657" s="1320"/>
      <c r="EV657" s="1320"/>
      <c r="EW657" s="1320" t="e">
        <f t="shared" si="7"/>
        <v>#VALUE!</v>
      </c>
      <c r="EX657" s="1320"/>
      <c r="EY657" s="1320"/>
      <c r="EZ657" s="1320"/>
      <c r="FA657" s="1320"/>
    </row>
    <row r="658" spans="1:157" ht="13" customHeight="1">
      <c r="A658" s="17"/>
      <c r="T658" s="17"/>
      <c r="AZ658" s="2"/>
      <c r="BA658" s="2"/>
      <c r="BB658" s="2"/>
      <c r="BC658" s="2"/>
      <c r="BD658" s="2"/>
      <c r="BE658" s="2"/>
      <c r="BF658" s="2"/>
      <c r="BG658" s="2"/>
      <c r="BH658" s="2"/>
      <c r="BI658" s="2"/>
      <c r="BJ658" s="2"/>
      <c r="BK658" s="2"/>
      <c r="BL658" s="2"/>
      <c r="BM658" s="2"/>
      <c r="DX658" s="1320" t="e">
        <f t="shared" si="2"/>
        <v>#VALUE!</v>
      </c>
      <c r="DY658" s="1320"/>
      <c r="DZ658" s="1320"/>
      <c r="EA658" s="1320"/>
      <c r="EB658" s="1320"/>
      <c r="EC658" s="1320" t="e">
        <f t="shared" si="3"/>
        <v>#VALUE!</v>
      </c>
      <c r="ED658" s="1320"/>
      <c r="EE658" s="1320"/>
      <c r="EF658" s="1320"/>
      <c r="EG658" s="1320"/>
      <c r="EH658" s="1320" t="e">
        <f t="shared" si="4"/>
        <v>#VALUE!</v>
      </c>
      <c r="EI658" s="1320"/>
      <c r="EJ658" s="1320"/>
      <c r="EK658" s="1320"/>
      <c r="EL658" s="1320"/>
      <c r="EM658" s="1320" t="e">
        <f t="shared" si="5"/>
        <v>#VALUE!</v>
      </c>
      <c r="EN658" s="1320"/>
      <c r="EO658" s="1320"/>
      <c r="EP658" s="1320"/>
      <c r="EQ658" s="1320"/>
      <c r="ER658" s="1320" t="e">
        <f t="shared" si="6"/>
        <v>#VALUE!</v>
      </c>
      <c r="ES658" s="1320"/>
      <c r="ET658" s="1320"/>
      <c r="EU658" s="1320"/>
      <c r="EV658" s="1320"/>
      <c r="EW658" s="1320" t="e">
        <f t="shared" si="7"/>
        <v>#VALUE!</v>
      </c>
      <c r="EX658" s="1320"/>
      <c r="EY658" s="1320"/>
      <c r="EZ658" s="1320"/>
      <c r="FA658" s="1320"/>
    </row>
    <row r="659" spans="1:157" ht="13" customHeight="1">
      <c r="A659" s="36" t="s">
        <v>86</v>
      </c>
      <c r="B659" t="s">
        <v>1419</v>
      </c>
      <c r="G659" s="1414" t="str">
        <f>C631</f>
        <v>Sponsor Loan - Homekey+</v>
      </c>
      <c r="H659" s="1414"/>
      <c r="I659" s="1414"/>
      <c r="J659" s="1414"/>
      <c r="K659" s="1414"/>
      <c r="L659" s="1414"/>
      <c r="M659" s="1414"/>
      <c r="N659" s="1414"/>
      <c r="O659" s="1414"/>
      <c r="P659" s="1414"/>
      <c r="Q659" s="1414"/>
      <c r="R659" s="1414"/>
      <c r="T659" s="36" t="s">
        <v>1407</v>
      </c>
      <c r="U659" t="s">
        <v>1419</v>
      </c>
      <c r="Z659" s="1414" t="str">
        <f>C632</f>
        <v>Sponsor Loan - AHP</v>
      </c>
      <c r="AA659" s="1414"/>
      <c r="AB659" s="1414"/>
      <c r="AC659" s="1414"/>
      <c r="AD659" s="1414"/>
      <c r="AE659" s="1414"/>
      <c r="AF659" s="1414"/>
      <c r="AG659" s="1414"/>
      <c r="AH659" s="1414"/>
      <c r="AI659" s="1414"/>
      <c r="AJ659" s="1414"/>
      <c r="AK659" s="1414"/>
      <c r="AZ659" s="2"/>
      <c r="BA659" s="2"/>
      <c r="BB659" s="2"/>
      <c r="BC659" s="2"/>
      <c r="BD659" s="2"/>
      <c r="BE659" s="2"/>
      <c r="BF659" s="2"/>
      <c r="BG659" s="2"/>
      <c r="BH659" s="2"/>
      <c r="BI659" s="2"/>
      <c r="BJ659" s="2"/>
      <c r="BK659" s="2"/>
      <c r="BL659" s="2"/>
      <c r="BM659" s="2"/>
      <c r="DX659" s="1320" t="e">
        <f t="shared" si="2"/>
        <v>#VALUE!</v>
      </c>
      <c r="DY659" s="1320"/>
      <c r="DZ659" s="1320"/>
      <c r="EA659" s="1320"/>
      <c r="EB659" s="1320"/>
      <c r="EC659" s="1320" t="e">
        <f t="shared" si="3"/>
        <v>#VALUE!</v>
      </c>
      <c r="ED659" s="1320"/>
      <c r="EE659" s="1320"/>
      <c r="EF659" s="1320"/>
      <c r="EG659" s="1320"/>
      <c r="EH659" s="1320" t="e">
        <f t="shared" si="4"/>
        <v>#VALUE!</v>
      </c>
      <c r="EI659" s="1320"/>
      <c r="EJ659" s="1320"/>
      <c r="EK659" s="1320"/>
      <c r="EL659" s="1320"/>
      <c r="EM659" s="1320" t="e">
        <f t="shared" si="5"/>
        <v>#VALUE!</v>
      </c>
      <c r="EN659" s="1320"/>
      <c r="EO659" s="1320"/>
      <c r="EP659" s="1320"/>
      <c r="EQ659" s="1320"/>
      <c r="ER659" s="1320" t="e">
        <f t="shared" si="6"/>
        <v>#VALUE!</v>
      </c>
      <c r="ES659" s="1320"/>
      <c r="ET659" s="1320"/>
      <c r="EU659" s="1320"/>
      <c r="EV659" s="1320"/>
      <c r="EW659" s="1320" t="e">
        <f t="shared" si="7"/>
        <v>#VALUE!</v>
      </c>
      <c r="EX659" s="1320"/>
      <c r="EY659" s="1320"/>
      <c r="EZ659" s="1320"/>
      <c r="FA659" s="1320"/>
    </row>
    <row r="660" spans="1:157" ht="13" customHeight="1">
      <c r="A660" s="17"/>
      <c r="B660" t="s">
        <v>1064</v>
      </c>
      <c r="G660" s="1369" t="s">
        <v>1459</v>
      </c>
      <c r="H660" s="1369"/>
      <c r="I660" s="1369"/>
      <c r="J660" s="1369"/>
      <c r="K660" s="1369"/>
      <c r="L660" s="1369"/>
      <c r="M660" s="1369"/>
      <c r="N660" s="1369"/>
      <c r="O660" s="1369"/>
      <c r="P660" s="1369"/>
      <c r="Q660" s="1369"/>
      <c r="R660" s="1369"/>
      <c r="T660" s="17"/>
      <c r="U660" t="s">
        <v>1064</v>
      </c>
      <c r="Z660" s="1369" t="s">
        <v>1460</v>
      </c>
      <c r="AA660" s="1369"/>
      <c r="AB660" s="1369"/>
      <c r="AC660" s="1369"/>
      <c r="AD660" s="1369"/>
      <c r="AE660" s="1369"/>
      <c r="AF660" s="1369"/>
      <c r="AG660" s="1369"/>
      <c r="AH660" s="1369"/>
      <c r="AI660" s="1369"/>
      <c r="AJ660" s="1369"/>
      <c r="AK660" s="1369"/>
      <c r="AZ660" s="2"/>
      <c r="BA660" s="2"/>
      <c r="BB660" s="2"/>
      <c r="BC660" s="2"/>
      <c r="BD660" s="2"/>
      <c r="BE660" s="2"/>
      <c r="BF660" s="2"/>
      <c r="BG660" s="2"/>
      <c r="BH660" s="2"/>
      <c r="BI660" s="2"/>
      <c r="BJ660" s="2"/>
      <c r="BK660" s="2"/>
      <c r="BL660" s="2"/>
      <c r="BM660" s="2"/>
      <c r="DX660" s="1320" t="e">
        <f t="shared" si="2"/>
        <v>#VALUE!</v>
      </c>
      <c r="DY660" s="1320"/>
      <c r="DZ660" s="1320"/>
      <c r="EA660" s="1320"/>
      <c r="EB660" s="1320"/>
      <c r="EC660" s="1320" t="e">
        <f t="shared" si="3"/>
        <v>#VALUE!</v>
      </c>
      <c r="ED660" s="1320"/>
      <c r="EE660" s="1320"/>
      <c r="EF660" s="1320"/>
      <c r="EG660" s="1320"/>
      <c r="EH660" s="1320" t="e">
        <f t="shared" si="4"/>
        <v>#VALUE!</v>
      </c>
      <c r="EI660" s="1320"/>
      <c r="EJ660" s="1320"/>
      <c r="EK660" s="1320"/>
      <c r="EL660" s="1320"/>
      <c r="EM660" s="1320" t="e">
        <f t="shared" si="5"/>
        <v>#VALUE!</v>
      </c>
      <c r="EN660" s="1320"/>
      <c r="EO660" s="1320"/>
      <c r="EP660" s="1320"/>
      <c r="EQ660" s="1320"/>
      <c r="ER660" s="1320" t="e">
        <f t="shared" si="6"/>
        <v>#VALUE!</v>
      </c>
      <c r="ES660" s="1320"/>
      <c r="ET660" s="1320"/>
      <c r="EU660" s="1320"/>
      <c r="EV660" s="1320"/>
      <c r="EW660" s="1320" t="e">
        <f t="shared" si="7"/>
        <v>#VALUE!</v>
      </c>
      <c r="EX660" s="1320"/>
      <c r="EY660" s="1320"/>
      <c r="EZ660" s="1320"/>
      <c r="FA660" s="1320"/>
    </row>
    <row r="661" spans="1:157" ht="13" customHeight="1">
      <c r="A661" s="17"/>
      <c r="B661" t="s">
        <v>932</v>
      </c>
      <c r="G661" s="1369" t="s">
        <v>1127</v>
      </c>
      <c r="H661" s="1369"/>
      <c r="I661" s="1369"/>
      <c r="J661" s="1369"/>
      <c r="K661" s="1369"/>
      <c r="L661" s="1369"/>
      <c r="M661" s="1369"/>
      <c r="N661" s="1369"/>
      <c r="O661" s="1369"/>
      <c r="P661" s="1369"/>
      <c r="Q661" s="1369"/>
      <c r="R661" s="1369"/>
      <c r="T661" s="17"/>
      <c r="U661" t="s">
        <v>932</v>
      </c>
      <c r="Z661" s="1322" t="s">
        <v>1125</v>
      </c>
      <c r="AA661" s="1322"/>
      <c r="AB661" s="1322"/>
      <c r="AC661" s="1322"/>
      <c r="AD661" s="1322"/>
      <c r="AE661" s="1322"/>
      <c r="AF661" s="1322"/>
      <c r="AG661" s="1322"/>
      <c r="AH661" s="1322"/>
      <c r="AI661" s="1322"/>
      <c r="AJ661" s="1322"/>
      <c r="AK661" s="1322"/>
      <c r="AZ661" s="2"/>
      <c r="BA661" s="2"/>
      <c r="BB661" s="2"/>
      <c r="BC661" s="2"/>
      <c r="BD661" s="2"/>
      <c r="BE661" s="2"/>
      <c r="BF661" s="2"/>
      <c r="BG661" s="2"/>
      <c r="BH661" s="2"/>
      <c r="BI661" s="2"/>
      <c r="BJ661" s="2"/>
      <c r="BK661" s="2"/>
      <c r="BL661" s="2"/>
      <c r="BM661" s="2"/>
      <c r="DX661" s="1320" t="e">
        <f t="shared" si="2"/>
        <v>#VALUE!</v>
      </c>
      <c r="DY661" s="1320"/>
      <c r="DZ661" s="1320"/>
      <c r="EA661" s="1320"/>
      <c r="EB661" s="1320"/>
      <c r="EC661" s="1320" t="e">
        <f t="shared" si="3"/>
        <v>#VALUE!</v>
      </c>
      <c r="ED661" s="1320"/>
      <c r="EE661" s="1320"/>
      <c r="EF661" s="1320"/>
      <c r="EG661" s="1320"/>
      <c r="EH661" s="1320" t="e">
        <f t="shared" si="4"/>
        <v>#VALUE!</v>
      </c>
      <c r="EI661" s="1320"/>
      <c r="EJ661" s="1320"/>
      <c r="EK661" s="1320"/>
      <c r="EL661" s="1320"/>
      <c r="EM661" s="1320" t="e">
        <f t="shared" si="5"/>
        <v>#VALUE!</v>
      </c>
      <c r="EN661" s="1320"/>
      <c r="EO661" s="1320"/>
      <c r="EP661" s="1320"/>
      <c r="EQ661" s="1320"/>
      <c r="ER661" s="1320" t="e">
        <f t="shared" si="6"/>
        <v>#VALUE!</v>
      </c>
      <c r="ES661" s="1320"/>
      <c r="ET661" s="1320"/>
      <c r="EU661" s="1320"/>
      <c r="EV661" s="1320"/>
      <c r="EW661" s="1320" t="e">
        <f t="shared" si="7"/>
        <v>#VALUE!</v>
      </c>
      <c r="EX661" s="1320"/>
      <c r="EY661" s="1320"/>
      <c r="EZ661" s="1320"/>
      <c r="FA661" s="1320"/>
    </row>
    <row r="662" spans="1:157" ht="13" customHeight="1">
      <c r="A662" s="17"/>
      <c r="B662" t="s">
        <v>1422</v>
      </c>
      <c r="G662" s="1369" t="s">
        <v>1461</v>
      </c>
      <c r="H662" s="1369"/>
      <c r="I662" s="1369"/>
      <c r="J662" s="1369"/>
      <c r="K662" s="1369"/>
      <c r="L662" s="1369"/>
      <c r="M662" s="1369"/>
      <c r="N662" s="1369"/>
      <c r="O662" s="1369"/>
      <c r="P662" s="1369"/>
      <c r="Q662" s="1369"/>
      <c r="R662" s="1369"/>
      <c r="T662" s="17"/>
      <c r="U662" t="s">
        <v>1422</v>
      </c>
      <c r="Z662" s="1322" t="s">
        <v>1462</v>
      </c>
      <c r="AA662" s="1322"/>
      <c r="AB662" s="1322"/>
      <c r="AC662" s="1322"/>
      <c r="AD662" s="1322"/>
      <c r="AE662" s="1322"/>
      <c r="AF662" s="1322"/>
      <c r="AG662" s="1322"/>
      <c r="AH662" s="1322"/>
      <c r="AI662" s="1322"/>
      <c r="AJ662" s="1322"/>
      <c r="AK662" s="132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0" t="e">
        <f t="shared" si="2"/>
        <v>#VALUE!</v>
      </c>
      <c r="DY662" s="1320"/>
      <c r="DZ662" s="1320"/>
      <c r="EA662" s="1320"/>
      <c r="EB662" s="1320"/>
      <c r="EC662" s="1320" t="e">
        <f t="shared" si="3"/>
        <v>#VALUE!</v>
      </c>
      <c r="ED662" s="1320"/>
      <c r="EE662" s="1320"/>
      <c r="EF662" s="1320"/>
      <c r="EG662" s="1320"/>
      <c r="EH662" s="1320" t="e">
        <f t="shared" si="4"/>
        <v>#VALUE!</v>
      </c>
      <c r="EI662" s="1320"/>
      <c r="EJ662" s="1320"/>
      <c r="EK662" s="1320"/>
      <c r="EL662" s="1320"/>
      <c r="EM662" s="1320" t="e">
        <f t="shared" si="5"/>
        <v>#VALUE!</v>
      </c>
      <c r="EN662" s="1320"/>
      <c r="EO662" s="1320"/>
      <c r="EP662" s="1320"/>
      <c r="EQ662" s="1320"/>
      <c r="ER662" s="1320" t="e">
        <f t="shared" si="6"/>
        <v>#VALUE!</v>
      </c>
      <c r="ES662" s="1320"/>
      <c r="ET662" s="1320"/>
      <c r="EU662" s="1320"/>
      <c r="EV662" s="1320"/>
      <c r="EW662" s="1320" t="e">
        <f t="shared" si="7"/>
        <v>#VALUE!</v>
      </c>
      <c r="EX662" s="1320"/>
      <c r="EY662" s="1320"/>
      <c r="EZ662" s="1320"/>
      <c r="FA662" s="1320"/>
    </row>
    <row r="663" spans="1:157" ht="13" customHeight="1">
      <c r="A663" s="17"/>
      <c r="B663" t="s">
        <v>826</v>
      </c>
      <c r="G663" s="1421" t="s">
        <v>1463</v>
      </c>
      <c r="H663" s="1421"/>
      <c r="I663" s="1421"/>
      <c r="J663" s="1421"/>
      <c r="K663" s="1421"/>
      <c r="L663" s="1421"/>
      <c r="O663" s="815" t="s">
        <v>1072</v>
      </c>
      <c r="P663" s="1370"/>
      <c r="Q663" s="1370"/>
      <c r="R663" s="1370"/>
      <c r="T663" s="17"/>
      <c r="U663" t="s">
        <v>826</v>
      </c>
      <c r="Z663" s="1421" t="s">
        <v>1464</v>
      </c>
      <c r="AA663" s="1421"/>
      <c r="AB663" s="1421"/>
      <c r="AC663" s="1421"/>
      <c r="AD663" s="1421"/>
      <c r="AE663" s="1421"/>
      <c r="AH663" s="815" t="s">
        <v>1072</v>
      </c>
      <c r="AI663" s="1370"/>
      <c r="AJ663" s="1370"/>
      <c r="AK663" s="1370"/>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0" t="e">
        <f t="shared" si="2"/>
        <v>#VALUE!</v>
      </c>
      <c r="DY663" s="1320"/>
      <c r="DZ663" s="1320"/>
      <c r="EA663" s="1320"/>
      <c r="EB663" s="1320"/>
      <c r="EC663" s="1320" t="e">
        <f t="shared" si="3"/>
        <v>#VALUE!</v>
      </c>
      <c r="ED663" s="1320"/>
      <c r="EE663" s="1320"/>
      <c r="EF663" s="1320"/>
      <c r="EG663" s="1320"/>
      <c r="EH663" s="1320" t="e">
        <f t="shared" si="4"/>
        <v>#VALUE!</v>
      </c>
      <c r="EI663" s="1320"/>
      <c r="EJ663" s="1320"/>
      <c r="EK663" s="1320"/>
      <c r="EL663" s="1320"/>
      <c r="EM663" s="1320" t="e">
        <f t="shared" si="5"/>
        <v>#VALUE!</v>
      </c>
      <c r="EN663" s="1320"/>
      <c r="EO663" s="1320"/>
      <c r="EP663" s="1320"/>
      <c r="EQ663" s="1320"/>
      <c r="ER663" s="1320" t="e">
        <f t="shared" si="6"/>
        <v>#VALUE!</v>
      </c>
      <c r="ES663" s="1320"/>
      <c r="ET663" s="1320"/>
      <c r="EU663" s="1320"/>
      <c r="EV663" s="1320"/>
      <c r="EW663" s="1320" t="e">
        <f t="shared" si="7"/>
        <v>#VALUE!</v>
      </c>
      <c r="EX663" s="1320"/>
      <c r="EY663" s="1320"/>
      <c r="EZ663" s="1320"/>
      <c r="FA663" s="1320"/>
    </row>
    <row r="664" spans="1:157" ht="13" customHeight="1">
      <c r="A664" s="17"/>
      <c r="B664" t="s">
        <v>1425</v>
      </c>
      <c r="H664" s="1369" t="s">
        <v>1438</v>
      </c>
      <c r="I664" s="1369"/>
      <c r="J664" s="1369"/>
      <c r="K664" s="1369"/>
      <c r="L664" s="1369"/>
      <c r="M664" s="1369"/>
      <c r="N664" s="1369"/>
      <c r="O664" s="1369"/>
      <c r="P664" s="1369"/>
      <c r="Q664" s="1369"/>
      <c r="R664" s="1369"/>
      <c r="T664" s="17"/>
      <c r="U664" t="s">
        <v>1425</v>
      </c>
      <c r="AA664" s="1369" t="s">
        <v>1465</v>
      </c>
      <c r="AB664" s="1369"/>
      <c r="AC664" s="1369"/>
      <c r="AD664" s="1369"/>
      <c r="AE664" s="1369"/>
      <c r="AF664" s="1369"/>
      <c r="AG664" s="1369"/>
      <c r="AH664" s="1369"/>
      <c r="AI664" s="1369"/>
      <c r="AJ664" s="1369"/>
      <c r="AK664" s="1369"/>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0" t="e">
        <f t="shared" si="2"/>
        <v>#VALUE!</v>
      </c>
      <c r="DY664" s="1320"/>
      <c r="DZ664" s="1320"/>
      <c r="EA664" s="1320"/>
      <c r="EB664" s="1320"/>
      <c r="EC664" s="1320" t="e">
        <f t="shared" si="3"/>
        <v>#VALUE!</v>
      </c>
      <c r="ED664" s="1320"/>
      <c r="EE664" s="1320"/>
      <c r="EF664" s="1320"/>
      <c r="EG664" s="1320"/>
      <c r="EH664" s="1320" t="e">
        <f t="shared" si="4"/>
        <v>#VALUE!</v>
      </c>
      <c r="EI664" s="1320"/>
      <c r="EJ664" s="1320"/>
      <c r="EK664" s="1320"/>
      <c r="EL664" s="1320"/>
      <c r="EM664" s="1320" t="e">
        <f t="shared" si="5"/>
        <v>#VALUE!</v>
      </c>
      <c r="EN664" s="1320"/>
      <c r="EO664" s="1320"/>
      <c r="EP664" s="1320"/>
      <c r="EQ664" s="1320"/>
      <c r="ER664" s="1320" t="e">
        <f t="shared" si="6"/>
        <v>#VALUE!</v>
      </c>
      <c r="ES664" s="1320"/>
      <c r="ET664" s="1320"/>
      <c r="EU664" s="1320"/>
      <c r="EV664" s="1320"/>
      <c r="EW664" s="1320" t="e">
        <f t="shared" si="7"/>
        <v>#VALUE!</v>
      </c>
      <c r="EX664" s="1320"/>
      <c r="EY664" s="1320"/>
      <c r="EZ664" s="1320"/>
      <c r="FA664" s="1320"/>
    </row>
    <row r="665" spans="1:157" ht="13" customHeight="1">
      <c r="A665" s="17"/>
      <c r="B665" t="s">
        <v>1429</v>
      </c>
      <c r="N665" s="1353" t="s">
        <v>695</v>
      </c>
      <c r="O665" s="1353"/>
      <c r="T665" s="17"/>
      <c r="U665" t="s">
        <v>1429</v>
      </c>
      <c r="AG665" s="1353" t="s">
        <v>695</v>
      </c>
      <c r="AH665" s="1353"/>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0" t="e">
        <f t="shared" si="2"/>
        <v>#VALUE!</v>
      </c>
      <c r="DY665" s="1320"/>
      <c r="DZ665" s="1320"/>
      <c r="EA665" s="1320"/>
      <c r="EB665" s="1320"/>
      <c r="EC665" s="1320" t="e">
        <f t="shared" si="3"/>
        <v>#VALUE!</v>
      </c>
      <c r="ED665" s="1320"/>
      <c r="EE665" s="1320"/>
      <c r="EF665" s="1320"/>
      <c r="EG665" s="1320"/>
      <c r="EH665" s="1320" t="e">
        <f t="shared" si="4"/>
        <v>#VALUE!</v>
      </c>
      <c r="EI665" s="1320"/>
      <c r="EJ665" s="1320"/>
      <c r="EK665" s="1320"/>
      <c r="EL665" s="1320"/>
      <c r="EM665" s="1320" t="e">
        <f t="shared" si="5"/>
        <v>#VALUE!</v>
      </c>
      <c r="EN665" s="1320"/>
      <c r="EO665" s="1320"/>
      <c r="EP665" s="1320"/>
      <c r="EQ665" s="1320"/>
      <c r="ER665" s="1320" t="e">
        <f t="shared" si="6"/>
        <v>#VALUE!</v>
      </c>
      <c r="ES665" s="1320"/>
      <c r="ET665" s="1320"/>
      <c r="EU665" s="1320"/>
      <c r="EV665" s="1320"/>
      <c r="EW665" s="1320" t="e">
        <f t="shared" si="7"/>
        <v>#VALUE!</v>
      </c>
      <c r="EX665" s="1320"/>
      <c r="EY665" s="1320"/>
      <c r="EZ665" s="1320"/>
      <c r="FA665" s="1320"/>
    </row>
    <row r="666" spans="1:157" ht="13"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0" t="e">
        <f t="shared" si="2"/>
        <v>#VALUE!</v>
      </c>
      <c r="DY666" s="1320"/>
      <c r="DZ666" s="1320"/>
      <c r="EA666" s="1320"/>
      <c r="EB666" s="1320"/>
      <c r="EC666" s="1320" t="e">
        <f t="shared" si="3"/>
        <v>#VALUE!</v>
      </c>
      <c r="ED666" s="1320"/>
      <c r="EE666" s="1320"/>
      <c r="EF666" s="1320"/>
      <c r="EG666" s="1320"/>
      <c r="EH666" s="1320" t="e">
        <f t="shared" si="4"/>
        <v>#VALUE!</v>
      </c>
      <c r="EI666" s="1320"/>
      <c r="EJ666" s="1320"/>
      <c r="EK666" s="1320"/>
      <c r="EL666" s="1320"/>
      <c r="EM666" s="1320" t="e">
        <f t="shared" si="5"/>
        <v>#VALUE!</v>
      </c>
      <c r="EN666" s="1320"/>
      <c r="EO666" s="1320"/>
      <c r="EP666" s="1320"/>
      <c r="EQ666" s="1320"/>
      <c r="ER666" s="1320" t="e">
        <f t="shared" si="6"/>
        <v>#VALUE!</v>
      </c>
      <c r="ES666" s="1320"/>
      <c r="ET666" s="1320"/>
      <c r="EU666" s="1320"/>
      <c r="EV666" s="1320"/>
      <c r="EW666" s="1320" t="e">
        <f t="shared" si="7"/>
        <v>#VALUE!</v>
      </c>
      <c r="EX666" s="1320"/>
      <c r="EY666" s="1320"/>
      <c r="EZ666" s="1320"/>
      <c r="FA666" s="1320"/>
    </row>
    <row r="667" spans="1:157" ht="13" customHeight="1">
      <c r="A667" s="36" t="s">
        <v>1409</v>
      </c>
      <c r="B667" t="s">
        <v>1419</v>
      </c>
      <c r="G667" s="1414" t="str">
        <f>C633</f>
        <v>Deferred Developer Fee</v>
      </c>
      <c r="H667" s="1414"/>
      <c r="I667" s="1414"/>
      <c r="J667" s="1414"/>
      <c r="K667" s="1414"/>
      <c r="L667" s="1414"/>
      <c r="M667" s="1414"/>
      <c r="N667" s="1414"/>
      <c r="O667" s="1414"/>
      <c r="P667" s="1414"/>
      <c r="Q667" s="1414"/>
      <c r="R667" s="1414"/>
      <c r="T667" s="36" t="s">
        <v>1411</v>
      </c>
      <c r="U667" t="s">
        <v>1419</v>
      </c>
      <c r="Z667" s="1414" t="str">
        <f>C634</f>
        <v>Solar PV Equity</v>
      </c>
      <c r="AA667" s="1414"/>
      <c r="AB667" s="1414"/>
      <c r="AC667" s="1414"/>
      <c r="AD667" s="1414"/>
      <c r="AE667" s="1414"/>
      <c r="AF667" s="1414"/>
      <c r="AG667" s="1414"/>
      <c r="AH667" s="1414"/>
      <c r="AI667" s="1414"/>
      <c r="AJ667" s="1414"/>
      <c r="AK667" s="1414"/>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0" t="e">
        <f t="shared" si="2"/>
        <v>#VALUE!</v>
      </c>
      <c r="DY667" s="1320"/>
      <c r="DZ667" s="1320"/>
      <c r="EA667" s="1320"/>
      <c r="EB667" s="1320"/>
      <c r="EC667" s="1320" t="e">
        <f t="shared" si="3"/>
        <v>#VALUE!</v>
      </c>
      <c r="ED667" s="1320"/>
      <c r="EE667" s="1320"/>
      <c r="EF667" s="1320"/>
      <c r="EG667" s="1320"/>
      <c r="EH667" s="1320" t="e">
        <f t="shared" si="4"/>
        <v>#VALUE!</v>
      </c>
      <c r="EI667" s="1320"/>
      <c r="EJ667" s="1320"/>
      <c r="EK667" s="1320"/>
      <c r="EL667" s="1320"/>
      <c r="EM667" s="1320" t="e">
        <f t="shared" si="5"/>
        <v>#VALUE!</v>
      </c>
      <c r="EN667" s="1320"/>
      <c r="EO667" s="1320"/>
      <c r="EP667" s="1320"/>
      <c r="EQ667" s="1320"/>
      <c r="ER667" s="1320" t="e">
        <f t="shared" si="6"/>
        <v>#VALUE!</v>
      </c>
      <c r="ES667" s="1320"/>
      <c r="ET667" s="1320"/>
      <c r="EU667" s="1320"/>
      <c r="EV667" s="1320"/>
      <c r="EW667" s="1320" t="e">
        <f t="shared" si="7"/>
        <v>#VALUE!</v>
      </c>
      <c r="EX667" s="1320"/>
      <c r="EY667" s="1320"/>
      <c r="EZ667" s="1320"/>
      <c r="FA667" s="1320"/>
    </row>
    <row r="668" spans="1:157" ht="13" customHeight="1">
      <c r="A668" s="17"/>
      <c r="B668" t="s">
        <v>1064</v>
      </c>
      <c r="G668" s="1369" t="s">
        <v>1112</v>
      </c>
      <c r="H668" s="1369"/>
      <c r="I668" s="1369"/>
      <c r="J668" s="1369"/>
      <c r="K668" s="1369"/>
      <c r="L668" s="1369"/>
      <c r="M668" s="1369"/>
      <c r="N668" s="1369"/>
      <c r="O668" s="1369"/>
      <c r="P668" s="1369"/>
      <c r="Q668" s="1369"/>
      <c r="R668" s="1369"/>
      <c r="T668" s="17"/>
      <c r="U668" t="s">
        <v>1064</v>
      </c>
      <c r="Z668" s="1369" t="s">
        <v>1136</v>
      </c>
      <c r="AA668" s="1369"/>
      <c r="AB668" s="1369"/>
      <c r="AC668" s="1369"/>
      <c r="AD668" s="1369"/>
      <c r="AE668" s="1369"/>
      <c r="AF668" s="1369"/>
      <c r="AG668" s="1369"/>
      <c r="AH668" s="1369"/>
      <c r="AI668" s="1369"/>
      <c r="AJ668" s="1369"/>
      <c r="AK668" s="1369"/>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0" t="e">
        <f t="shared" si="2"/>
        <v>#VALUE!</v>
      </c>
      <c r="DY668" s="1320"/>
      <c r="DZ668" s="1320"/>
      <c r="EA668" s="1320"/>
      <c r="EB668" s="1320"/>
      <c r="EC668" s="1320" t="e">
        <f t="shared" si="3"/>
        <v>#VALUE!</v>
      </c>
      <c r="ED668" s="1320"/>
      <c r="EE668" s="1320"/>
      <c r="EF668" s="1320"/>
      <c r="EG668" s="1320"/>
      <c r="EH668" s="1320" t="e">
        <f t="shared" si="4"/>
        <v>#VALUE!</v>
      </c>
      <c r="EI668" s="1320"/>
      <c r="EJ668" s="1320"/>
      <c r="EK668" s="1320"/>
      <c r="EL668" s="1320"/>
      <c r="EM668" s="1320" t="e">
        <f t="shared" si="5"/>
        <v>#VALUE!</v>
      </c>
      <c r="EN668" s="1320"/>
      <c r="EO668" s="1320"/>
      <c r="EP668" s="1320"/>
      <c r="EQ668" s="1320"/>
      <c r="ER668" s="1320" t="e">
        <f t="shared" si="6"/>
        <v>#VALUE!</v>
      </c>
      <c r="ES668" s="1320"/>
      <c r="ET668" s="1320"/>
      <c r="EU668" s="1320"/>
      <c r="EV668" s="1320"/>
      <c r="EW668" s="1320" t="e">
        <f t="shared" si="7"/>
        <v>#VALUE!</v>
      </c>
      <c r="EX668" s="1320"/>
      <c r="EY668" s="1320"/>
      <c r="EZ668" s="1320"/>
      <c r="FA668" s="1320"/>
    </row>
    <row r="669" spans="1:157" ht="13" customHeight="1">
      <c r="A669" s="17"/>
      <c r="B669" t="s">
        <v>932</v>
      </c>
      <c r="G669" s="1369" t="s">
        <v>1125</v>
      </c>
      <c r="H669" s="1369"/>
      <c r="I669" s="1369"/>
      <c r="J669" s="1369"/>
      <c r="K669" s="1369"/>
      <c r="L669" s="1369"/>
      <c r="M669" s="1369"/>
      <c r="N669" s="1369"/>
      <c r="O669" s="1369"/>
      <c r="P669" s="1369"/>
      <c r="Q669" s="1369"/>
      <c r="R669" s="1369"/>
      <c r="T669" s="17"/>
      <c r="U669" t="s">
        <v>932</v>
      </c>
      <c r="Z669" s="1322"/>
      <c r="AA669" s="1322"/>
      <c r="AB669" s="1322"/>
      <c r="AC669" s="1322"/>
      <c r="AD669" s="1322"/>
      <c r="AE669" s="1322"/>
      <c r="AF669" s="1322"/>
      <c r="AG669" s="1322"/>
      <c r="AH669" s="1322"/>
      <c r="AI669" s="1322"/>
      <c r="AJ669" s="1322"/>
      <c r="AK669" s="1322"/>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0" t="e">
        <f t="shared" si="2"/>
        <v>#VALUE!</v>
      </c>
      <c r="DY669" s="1320"/>
      <c r="DZ669" s="1320"/>
      <c r="EA669" s="1320"/>
      <c r="EB669" s="1320"/>
      <c r="EC669" s="1320" t="e">
        <f t="shared" si="3"/>
        <v>#VALUE!</v>
      </c>
      <c r="ED669" s="1320"/>
      <c r="EE669" s="1320"/>
      <c r="EF669" s="1320"/>
      <c r="EG669" s="1320"/>
      <c r="EH669" s="1320" t="e">
        <f t="shared" si="4"/>
        <v>#VALUE!</v>
      </c>
      <c r="EI669" s="1320"/>
      <c r="EJ669" s="1320"/>
      <c r="EK669" s="1320"/>
      <c r="EL669" s="1320"/>
      <c r="EM669" s="1320" t="e">
        <f t="shared" si="5"/>
        <v>#VALUE!</v>
      </c>
      <c r="EN669" s="1320"/>
      <c r="EO669" s="1320"/>
      <c r="EP669" s="1320"/>
      <c r="EQ669" s="1320"/>
      <c r="ER669" s="1320" t="e">
        <f t="shared" si="6"/>
        <v>#VALUE!</v>
      </c>
      <c r="ES669" s="1320"/>
      <c r="ET669" s="1320"/>
      <c r="EU669" s="1320"/>
      <c r="EV669" s="1320"/>
      <c r="EW669" s="1320" t="e">
        <f t="shared" si="7"/>
        <v>#VALUE!</v>
      </c>
      <c r="EX669" s="1320"/>
      <c r="EY669" s="1320"/>
      <c r="EZ669" s="1320"/>
      <c r="FA669" s="1320"/>
    </row>
    <row r="670" spans="1:157" ht="13" customHeight="1">
      <c r="A670" s="17"/>
      <c r="B670" t="s">
        <v>1422</v>
      </c>
      <c r="G670" s="1369" t="s">
        <v>1069</v>
      </c>
      <c r="H670" s="1369"/>
      <c r="I670" s="1369"/>
      <c r="J670" s="1369"/>
      <c r="K670" s="1369"/>
      <c r="L670" s="1369"/>
      <c r="M670" s="1369"/>
      <c r="N670" s="1369"/>
      <c r="O670" s="1369"/>
      <c r="P670" s="1369"/>
      <c r="Q670" s="1369"/>
      <c r="R670" s="1369"/>
      <c r="T670" s="17"/>
      <c r="U670" t="s">
        <v>1422</v>
      </c>
      <c r="Z670" s="1322"/>
      <c r="AA670" s="1322"/>
      <c r="AB670" s="1322"/>
      <c r="AC670" s="1322"/>
      <c r="AD670" s="1322"/>
      <c r="AE670" s="1322"/>
      <c r="AF670" s="1322"/>
      <c r="AG670" s="1322"/>
      <c r="AH670" s="1322"/>
      <c r="AI670" s="1322"/>
      <c r="AJ670" s="1322"/>
      <c r="AK670" s="1322"/>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0">
        <f>SUMIF(DX635:EB669,"&gt;0")</f>
        <v>0</v>
      </c>
      <c r="DY670" s="1320"/>
      <c r="DZ670" s="1320"/>
      <c r="EA670" s="1320"/>
      <c r="EB670" s="1320"/>
      <c r="EC670" s="1320">
        <f>SUMIF(EC635:EG669,"&gt;0")</f>
        <v>668.046875</v>
      </c>
      <c r="ED670" s="1320"/>
      <c r="EE670" s="1320"/>
      <c r="EF670" s="1320"/>
      <c r="EG670" s="1320"/>
      <c r="EH670" s="1320">
        <f>SUMIF(EH635:EL669,"&gt;0")</f>
        <v>956.93333333333339</v>
      </c>
      <c r="EI670" s="1320"/>
      <c r="EJ670" s="1320"/>
      <c r="EK670" s="1320"/>
      <c r="EL670" s="1320"/>
      <c r="EM670" s="1320">
        <f>SUMIF(EM635:EQ669,"&gt;0")</f>
        <v>0</v>
      </c>
      <c r="EN670" s="1320"/>
      <c r="EO670" s="1320"/>
      <c r="EP670" s="1320"/>
      <c r="EQ670" s="1320"/>
      <c r="ER670" s="1320">
        <f>SUMIF(ER635:EV669,"&gt;0")</f>
        <v>0</v>
      </c>
      <c r="ES670" s="1320"/>
      <c r="ET670" s="1320"/>
      <c r="EU670" s="1320"/>
      <c r="EV670" s="1320"/>
      <c r="EW670" s="1320">
        <f>SUMIF(EW635:FA669,"&gt;0")</f>
        <v>0</v>
      </c>
      <c r="EX670" s="1320"/>
      <c r="EY670" s="1320"/>
      <c r="EZ670" s="1320"/>
      <c r="FA670" s="1320"/>
    </row>
    <row r="671" spans="1:157" ht="13" customHeight="1">
      <c r="A671" s="17"/>
      <c r="B671" t="s">
        <v>826</v>
      </c>
      <c r="G671" s="1421" t="s">
        <v>1071</v>
      </c>
      <c r="H671" s="1421"/>
      <c r="I671" s="1421"/>
      <c r="J671" s="1421"/>
      <c r="K671" s="1421"/>
      <c r="L671" s="1421"/>
      <c r="O671" s="815" t="s">
        <v>1072</v>
      </c>
      <c r="P671" s="1370"/>
      <c r="Q671" s="1370"/>
      <c r="R671" s="1370"/>
      <c r="T671" s="17"/>
      <c r="U671" t="s">
        <v>826</v>
      </c>
      <c r="Z671" s="1421"/>
      <c r="AA671" s="1421"/>
      <c r="AB671" s="1421"/>
      <c r="AC671" s="1421"/>
      <c r="AD671" s="1421"/>
      <c r="AE671" s="1421"/>
      <c r="AH671" s="815" t="s">
        <v>1072</v>
      </c>
      <c r="AI671" s="1370"/>
      <c r="AJ671" s="1370"/>
      <c r="AK671" s="1370"/>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7"/>
      <c r="B672" t="s">
        <v>1425</v>
      </c>
      <c r="H672" s="1369" t="s">
        <v>1410</v>
      </c>
      <c r="I672" s="1369"/>
      <c r="J672" s="1369"/>
      <c r="K672" s="1369"/>
      <c r="L672" s="1369"/>
      <c r="M672" s="1369"/>
      <c r="N672" s="1369"/>
      <c r="O672" s="1369"/>
      <c r="P672" s="1369"/>
      <c r="Q672" s="1369"/>
      <c r="R672" s="1369"/>
      <c r="T672" s="17"/>
      <c r="U672" t="s">
        <v>1425</v>
      </c>
      <c r="AA672" s="1369"/>
      <c r="AB672" s="1369"/>
      <c r="AC672" s="1369"/>
      <c r="AD672" s="1369"/>
      <c r="AE672" s="1369"/>
      <c r="AF672" s="1369"/>
      <c r="AG672" s="1369"/>
      <c r="AH672" s="1369"/>
      <c r="AI672" s="1369"/>
      <c r="AJ672" s="1369"/>
      <c r="AK672" s="1369"/>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3" customHeight="1">
      <c r="A673" s="17"/>
      <c r="B673" t="s">
        <v>1429</v>
      </c>
      <c r="N673" s="1353" t="s">
        <v>847</v>
      </c>
      <c r="O673" s="1353"/>
      <c r="T673" s="17"/>
      <c r="U673" t="s">
        <v>1429</v>
      </c>
      <c r="AG673" s="1353" t="s">
        <v>695</v>
      </c>
      <c r="AH673" s="1353"/>
      <c r="AZ673" s="2"/>
    </row>
    <row r="674" spans="1:52" ht="13" customHeight="1">
      <c r="A674" s="17"/>
      <c r="T674" s="17"/>
      <c r="AZ674" s="2"/>
    </row>
    <row r="675" spans="1:52" ht="13" customHeight="1">
      <c r="A675" s="36" t="s">
        <v>1413</v>
      </c>
      <c r="B675" t="s">
        <v>1419</v>
      </c>
      <c r="G675" s="1414" t="str">
        <f>C635</f>
        <v>Donated Land</v>
      </c>
      <c r="H675" s="1414"/>
      <c r="I675" s="1414"/>
      <c r="J675" s="1414"/>
      <c r="K675" s="1414"/>
      <c r="L675" s="1414"/>
      <c r="M675" s="1414"/>
      <c r="N675" s="1414"/>
      <c r="O675" s="1414"/>
      <c r="P675" s="1414"/>
      <c r="Q675" s="1414"/>
      <c r="R675" s="1414"/>
      <c r="T675" s="36" t="s">
        <v>1415</v>
      </c>
      <c r="U675" t="s">
        <v>1419</v>
      </c>
      <c r="Z675" s="1414">
        <f>C636</f>
        <v>0</v>
      </c>
      <c r="AA675" s="1414"/>
      <c r="AB675" s="1414"/>
      <c r="AC675" s="1414"/>
      <c r="AD675" s="1414"/>
      <c r="AE675" s="1414"/>
      <c r="AF675" s="1414"/>
      <c r="AG675" s="1414"/>
      <c r="AH675" s="1414"/>
      <c r="AI675" s="1414"/>
      <c r="AJ675" s="1414"/>
      <c r="AK675" s="1414"/>
      <c r="AZ675" s="2"/>
    </row>
    <row r="676" spans="1:52" ht="13" customHeight="1">
      <c r="A676" s="17"/>
      <c r="B676" t="s">
        <v>1064</v>
      </c>
      <c r="G676" s="1369" t="s">
        <v>1466</v>
      </c>
      <c r="H676" s="1369"/>
      <c r="I676" s="1369"/>
      <c r="J676" s="1369"/>
      <c r="K676" s="1369"/>
      <c r="L676" s="1369"/>
      <c r="M676" s="1369"/>
      <c r="N676" s="1369"/>
      <c r="O676" s="1369"/>
      <c r="P676" s="1369"/>
      <c r="Q676" s="1369"/>
      <c r="R676" s="1369"/>
      <c r="T676" s="17"/>
      <c r="U676" t="s">
        <v>1064</v>
      </c>
      <c r="Z676" s="1369"/>
      <c r="AA676" s="1369"/>
      <c r="AB676" s="1369"/>
      <c r="AC676" s="1369"/>
      <c r="AD676" s="1369"/>
      <c r="AE676" s="1369"/>
      <c r="AF676" s="1369"/>
      <c r="AG676" s="1369"/>
      <c r="AH676" s="1369"/>
      <c r="AI676" s="1369"/>
      <c r="AJ676" s="1369"/>
      <c r="AK676" s="1369"/>
      <c r="AZ676" s="2"/>
    </row>
    <row r="677" spans="1:52" ht="13" customHeight="1">
      <c r="A677" s="17"/>
      <c r="B677" t="s">
        <v>932</v>
      </c>
      <c r="G677" s="1369" t="s">
        <v>1441</v>
      </c>
      <c r="H677" s="1369"/>
      <c r="I677" s="1369"/>
      <c r="J677" s="1369"/>
      <c r="K677" s="1369"/>
      <c r="L677" s="1369"/>
      <c r="M677" s="1369"/>
      <c r="N677" s="1369"/>
      <c r="O677" s="1369"/>
      <c r="P677" s="1369"/>
      <c r="Q677" s="1369"/>
      <c r="R677" s="1369"/>
      <c r="T677" s="17"/>
      <c r="U677" t="s">
        <v>932</v>
      </c>
      <c r="Z677" s="1322"/>
      <c r="AA677" s="1322"/>
      <c r="AB677" s="1322"/>
      <c r="AC677" s="1322"/>
      <c r="AD677" s="1322"/>
      <c r="AE677" s="1322"/>
      <c r="AF677" s="1322"/>
      <c r="AG677" s="1322"/>
      <c r="AH677" s="1322"/>
      <c r="AI677" s="1322"/>
      <c r="AJ677" s="1322"/>
      <c r="AK677" s="1322"/>
      <c r="AZ677" s="2"/>
    </row>
    <row r="678" spans="1:52" ht="13" customHeight="1">
      <c r="A678" s="17"/>
      <c r="B678" t="s">
        <v>1422</v>
      </c>
      <c r="G678" s="1369" t="s">
        <v>1099</v>
      </c>
      <c r="H678" s="1369"/>
      <c r="I678" s="1369"/>
      <c r="J678" s="1369"/>
      <c r="K678" s="1369"/>
      <c r="L678" s="1369"/>
      <c r="M678" s="1369"/>
      <c r="N678" s="1369"/>
      <c r="O678" s="1369"/>
      <c r="P678" s="1369"/>
      <c r="Q678" s="1369"/>
      <c r="R678" s="1369"/>
      <c r="T678" s="17"/>
      <c r="U678" t="s">
        <v>1422</v>
      </c>
      <c r="Z678" s="1322"/>
      <c r="AA678" s="1322"/>
      <c r="AB678" s="1322"/>
      <c r="AC678" s="1322"/>
      <c r="AD678" s="1322"/>
      <c r="AE678" s="1322"/>
      <c r="AF678" s="1322"/>
      <c r="AG678" s="1322"/>
      <c r="AH678" s="1322"/>
      <c r="AI678" s="1322"/>
      <c r="AJ678" s="1322"/>
      <c r="AK678" s="1322"/>
      <c r="AZ678" s="2"/>
    </row>
    <row r="679" spans="1:52" ht="13" customHeight="1">
      <c r="A679" s="17"/>
      <c r="B679" t="s">
        <v>826</v>
      </c>
      <c r="G679" s="1421" t="s">
        <v>1100</v>
      </c>
      <c r="H679" s="1421"/>
      <c r="I679" s="1421"/>
      <c r="J679" s="1421"/>
      <c r="K679" s="1421"/>
      <c r="L679" s="1421"/>
      <c r="O679" s="815" t="s">
        <v>1072</v>
      </c>
      <c r="P679" s="1370"/>
      <c r="Q679" s="1370"/>
      <c r="R679" s="1370"/>
      <c r="T679" s="17"/>
      <c r="U679" t="s">
        <v>826</v>
      </c>
      <c r="Z679" s="1421"/>
      <c r="AA679" s="1421"/>
      <c r="AB679" s="1421"/>
      <c r="AC679" s="1421"/>
      <c r="AD679" s="1421"/>
      <c r="AE679" s="1421"/>
      <c r="AH679" s="815" t="s">
        <v>1072</v>
      </c>
      <c r="AI679" s="1370"/>
      <c r="AJ679" s="1370"/>
      <c r="AK679" s="1370"/>
      <c r="AZ679" s="2"/>
    </row>
    <row r="680" spans="1:52" ht="13" customHeight="1">
      <c r="A680" s="17"/>
      <c r="B680" t="s">
        <v>1425</v>
      </c>
      <c r="H680" s="1369"/>
      <c r="I680" s="1369"/>
      <c r="J680" s="1369"/>
      <c r="K680" s="1369"/>
      <c r="L680" s="1369"/>
      <c r="M680" s="1369"/>
      <c r="N680" s="1369"/>
      <c r="O680" s="1369"/>
      <c r="P680" s="1369"/>
      <c r="Q680" s="1369"/>
      <c r="R680" s="1369"/>
      <c r="T680" s="17"/>
      <c r="U680" t="s">
        <v>1425</v>
      </c>
      <c r="AA680" s="1369"/>
      <c r="AB680" s="1369"/>
      <c r="AC680" s="1369"/>
      <c r="AD680" s="1369"/>
      <c r="AE680" s="1369"/>
      <c r="AF680" s="1369"/>
      <c r="AG680" s="1369"/>
      <c r="AH680" s="1369"/>
      <c r="AI680" s="1369"/>
      <c r="AJ680" s="1369"/>
      <c r="AK680" s="1369"/>
      <c r="AZ680" s="2"/>
    </row>
    <row r="681" spans="1:52" ht="13" customHeight="1">
      <c r="A681" s="17"/>
      <c r="B681" t="s">
        <v>1429</v>
      </c>
      <c r="N681" s="1353" t="s">
        <v>847</v>
      </c>
      <c r="O681" s="1353"/>
      <c r="T681" s="17"/>
      <c r="U681" t="s">
        <v>1429</v>
      </c>
      <c r="AG681" s="1353" t="s">
        <v>695</v>
      </c>
      <c r="AH681" s="1353"/>
      <c r="AZ681" s="2"/>
    </row>
    <row r="682" spans="1:52" ht="13" customHeight="1">
      <c r="A682" s="17"/>
      <c r="T682" s="17"/>
      <c r="AZ682" s="2"/>
    </row>
    <row r="683" spans="1:52" ht="13" customHeight="1">
      <c r="A683" s="36" t="s">
        <v>1416</v>
      </c>
      <c r="B683" t="s">
        <v>1419</v>
      </c>
      <c r="G683" s="1414">
        <f>C637</f>
        <v>0</v>
      </c>
      <c r="H683" s="1414"/>
      <c r="I683" s="1414"/>
      <c r="J683" s="1414"/>
      <c r="K683" s="1414"/>
      <c r="L683" s="1414"/>
      <c r="M683" s="1414"/>
      <c r="N683" s="1414"/>
      <c r="O683" s="1414"/>
      <c r="P683" s="1414"/>
      <c r="Q683" s="1414"/>
      <c r="R683" s="1414"/>
      <c r="T683" s="36" t="s">
        <v>1417</v>
      </c>
      <c r="U683" t="s">
        <v>1419</v>
      </c>
      <c r="Z683" s="1414">
        <f>C638</f>
        <v>0</v>
      </c>
      <c r="AA683" s="1414"/>
      <c r="AB683" s="1414"/>
      <c r="AC683" s="1414"/>
      <c r="AD683" s="1414"/>
      <c r="AE683" s="1414"/>
      <c r="AF683" s="1414"/>
      <c r="AG683" s="1414"/>
      <c r="AH683" s="1414"/>
      <c r="AI683" s="1414"/>
      <c r="AJ683" s="1414"/>
      <c r="AK683" s="1414"/>
      <c r="AZ683" s="2"/>
    </row>
    <row r="684" spans="1:52" ht="13" customHeight="1">
      <c r="B684" t="s">
        <v>1064</v>
      </c>
      <c r="G684" s="1369"/>
      <c r="H684" s="1369"/>
      <c r="I684" s="1369"/>
      <c r="J684" s="1369"/>
      <c r="K684" s="1369"/>
      <c r="L684" s="1369"/>
      <c r="M684" s="1369"/>
      <c r="N684" s="1369"/>
      <c r="O684" s="1369"/>
      <c r="P684" s="1369"/>
      <c r="Q684" s="1369"/>
      <c r="R684" s="1369"/>
      <c r="T684" s="17"/>
      <c r="U684" t="s">
        <v>1064</v>
      </c>
      <c r="Z684" s="1369"/>
      <c r="AA684" s="1369"/>
      <c r="AB684" s="1369"/>
      <c r="AC684" s="1369"/>
      <c r="AD684" s="1369"/>
      <c r="AE684" s="1369"/>
      <c r="AF684" s="1369"/>
      <c r="AG684" s="1369"/>
      <c r="AH684" s="1369"/>
      <c r="AI684" s="1369"/>
      <c r="AJ684" s="1369"/>
      <c r="AK684" s="1369"/>
      <c r="AZ684" s="2"/>
    </row>
    <row r="685" spans="1:52" ht="13" customHeight="1">
      <c r="B685" t="s">
        <v>932</v>
      </c>
      <c r="G685" s="1369"/>
      <c r="H685" s="1369"/>
      <c r="I685" s="1369"/>
      <c r="J685" s="1369"/>
      <c r="K685" s="1369"/>
      <c r="L685" s="1369"/>
      <c r="M685" s="1369"/>
      <c r="N685" s="1369"/>
      <c r="O685" s="1369"/>
      <c r="P685" s="1369"/>
      <c r="Q685" s="1369"/>
      <c r="R685" s="1369"/>
      <c r="U685" t="s">
        <v>932</v>
      </c>
      <c r="Z685" s="1322"/>
      <c r="AA685" s="1322"/>
      <c r="AB685" s="1322"/>
      <c r="AC685" s="1322"/>
      <c r="AD685" s="1322"/>
      <c r="AE685" s="1322"/>
      <c r="AF685" s="1322"/>
      <c r="AG685" s="1322"/>
      <c r="AH685" s="1322"/>
      <c r="AI685" s="1322"/>
      <c r="AJ685" s="1322"/>
      <c r="AK685" s="1322"/>
      <c r="AZ685" s="2"/>
    </row>
    <row r="686" spans="1:52" ht="13" customHeight="1">
      <c r="B686" t="s">
        <v>1422</v>
      </c>
      <c r="G686" s="1369"/>
      <c r="H686" s="1369"/>
      <c r="I686" s="1369"/>
      <c r="J686" s="1369"/>
      <c r="K686" s="1369"/>
      <c r="L686" s="1369"/>
      <c r="M686" s="1369"/>
      <c r="N686" s="1369"/>
      <c r="O686" s="1369"/>
      <c r="P686" s="1369"/>
      <c r="Q686" s="1369"/>
      <c r="R686" s="1369"/>
      <c r="U686" t="s">
        <v>1422</v>
      </c>
      <c r="Z686" s="1322"/>
      <c r="AA686" s="1322"/>
      <c r="AB686" s="1322"/>
      <c r="AC686" s="1322"/>
      <c r="AD686" s="1322"/>
      <c r="AE686" s="1322"/>
      <c r="AF686" s="1322"/>
      <c r="AG686" s="1322"/>
      <c r="AH686" s="1322"/>
      <c r="AI686" s="1322"/>
      <c r="AJ686" s="1322"/>
      <c r="AK686" s="1322"/>
      <c r="AZ686" s="2"/>
    </row>
    <row r="687" spans="1:52" ht="13" customHeight="1">
      <c r="B687" t="s">
        <v>826</v>
      </c>
      <c r="G687" s="1421"/>
      <c r="H687" s="1421"/>
      <c r="I687" s="1421"/>
      <c r="J687" s="1421"/>
      <c r="K687" s="1421"/>
      <c r="L687" s="1421"/>
      <c r="O687" s="815" t="s">
        <v>1072</v>
      </c>
      <c r="P687" s="1370"/>
      <c r="Q687" s="1370"/>
      <c r="R687" s="1370"/>
      <c r="U687" t="s">
        <v>826</v>
      </c>
      <c r="Z687" s="1421"/>
      <c r="AA687" s="1421"/>
      <c r="AB687" s="1421"/>
      <c r="AC687" s="1421"/>
      <c r="AD687" s="1421"/>
      <c r="AE687" s="1421"/>
      <c r="AH687" s="815" t="s">
        <v>1072</v>
      </c>
      <c r="AI687" s="1370"/>
      <c r="AJ687" s="1370"/>
      <c r="AK687" s="1370"/>
      <c r="AZ687" s="2"/>
    </row>
    <row r="688" spans="1:52" ht="13" customHeight="1">
      <c r="B688" t="s">
        <v>1425</v>
      </c>
      <c r="H688" s="1369"/>
      <c r="I688" s="1369"/>
      <c r="J688" s="1369"/>
      <c r="K688" s="1369"/>
      <c r="L688" s="1369"/>
      <c r="M688" s="1369"/>
      <c r="N688" s="1369"/>
      <c r="O688" s="1369"/>
      <c r="P688" s="1369"/>
      <c r="Q688" s="1369"/>
      <c r="R688" s="1369"/>
      <c r="U688" t="s">
        <v>1425</v>
      </c>
      <c r="AA688" s="1369"/>
      <c r="AB688" s="1369"/>
      <c r="AC688" s="1369"/>
      <c r="AD688" s="1369"/>
      <c r="AE688" s="1369"/>
      <c r="AF688" s="1369"/>
      <c r="AG688" s="1369"/>
      <c r="AH688" s="1369"/>
      <c r="AI688" s="1369"/>
      <c r="AJ688" s="1369"/>
      <c r="AK688" s="1369"/>
      <c r="AZ688" s="2"/>
    </row>
    <row r="689" spans="1:67" ht="13" customHeight="1">
      <c r="B689" t="s">
        <v>1429</v>
      </c>
      <c r="N689" s="1353" t="s">
        <v>695</v>
      </c>
      <c r="O689" s="1353"/>
      <c r="U689" t="s">
        <v>1429</v>
      </c>
      <c r="AG689" s="1353" t="s">
        <v>695</v>
      </c>
      <c r="AH689" s="1353"/>
      <c r="AZ689" s="2"/>
    </row>
    <row r="690" spans="1:67" ht="13" customHeight="1">
      <c r="AZ690" s="2"/>
    </row>
    <row r="691" spans="1:67" ht="13" customHeight="1">
      <c r="A691" s="1" t="s">
        <v>913</v>
      </c>
      <c r="C691" s="1" t="s">
        <v>179</v>
      </c>
      <c r="E691" s="1072"/>
      <c r="F691" s="1072"/>
      <c r="G691" s="1072"/>
      <c r="H691" s="1072"/>
      <c r="AZ691" s="2"/>
    </row>
    <row r="692" spans="1:67" ht="13" customHeight="1">
      <c r="B692" s="1085"/>
      <c r="C692" s="1085"/>
      <c r="D692" s="818" t="s">
        <v>1467</v>
      </c>
      <c r="E692" s="1085"/>
      <c r="F692" s="1085"/>
      <c r="G692" s="1085"/>
      <c r="H692" s="1085"/>
      <c r="AZ692" s="2"/>
    </row>
    <row r="693" spans="1:67" ht="13" customHeight="1">
      <c r="B693" s="1085"/>
      <c r="C693" s="1085"/>
      <c r="E693" s="818" t="s">
        <v>1468</v>
      </c>
      <c r="F693" s="1085"/>
      <c r="G693" s="1085"/>
      <c r="H693" s="1085"/>
      <c r="AE693" s="1353" t="s">
        <v>847</v>
      </c>
      <c r="AF693" s="1353"/>
      <c r="AZ693" s="2"/>
    </row>
    <row r="694" spans="1:67" ht="13" customHeight="1">
      <c r="B694" s="1085"/>
      <c r="C694" s="1085"/>
      <c r="D694" s="818" t="s">
        <v>1469</v>
      </c>
      <c r="E694" s="1085"/>
      <c r="F694" s="1085"/>
      <c r="G694" s="1085"/>
      <c r="H694" s="1085"/>
      <c r="AE694" s="1353" t="s">
        <v>695</v>
      </c>
      <c r="AF694" s="1353"/>
      <c r="AZ694" s="2"/>
    </row>
    <row r="695" spans="1:67" ht="13" customHeight="1">
      <c r="B695" s="1085"/>
      <c r="C695" s="1085"/>
      <c r="D695" s="818" t="s">
        <v>1470</v>
      </c>
      <c r="E695" s="1085"/>
      <c r="F695" s="1085"/>
      <c r="G695" s="1085"/>
      <c r="H695" s="1085"/>
      <c r="AE695" s="1429">
        <v>45685</v>
      </c>
      <c r="AF695" s="1429"/>
      <c r="AG695" s="1429"/>
      <c r="AH695" s="1429"/>
      <c r="AI695" s="1429"/>
    </row>
    <row r="696" spans="1:67" ht="13" customHeight="1">
      <c r="B696" s="1085"/>
      <c r="C696" s="1085"/>
      <c r="D696" s="197" t="s">
        <v>1471</v>
      </c>
      <c r="E696" s="1085"/>
      <c r="F696" s="1085"/>
      <c r="G696" s="1085"/>
      <c r="H696" s="1085"/>
      <c r="AE696" s="1593">
        <v>45755</v>
      </c>
      <c r="AF696" s="1593"/>
      <c r="AG696" s="1593"/>
      <c r="AH696" s="1593"/>
      <c r="AI696" s="1593"/>
    </row>
    <row r="697" spans="1:67" ht="13" customHeight="1">
      <c r="B697" s="1085"/>
      <c r="C697" s="1085"/>
    </row>
    <row r="698" spans="1:67" ht="13" customHeight="1">
      <c r="B698" s="1085"/>
      <c r="C698" s="1085"/>
      <c r="D698" s="818" t="s">
        <v>1472</v>
      </c>
      <c r="E698" s="1085"/>
      <c r="F698" s="1085"/>
      <c r="G698" s="1085"/>
      <c r="H698" s="1085"/>
      <c r="AE698" s="1429">
        <v>45931</v>
      </c>
      <c r="AF698" s="1429"/>
      <c r="AG698" s="1429"/>
      <c r="AH698" s="1429"/>
      <c r="AI698" s="1429"/>
    </row>
    <row r="699" spans="1:67" ht="13" customHeight="1">
      <c r="B699" s="1085"/>
      <c r="C699" s="1085"/>
      <c r="D699" s="818" t="s">
        <v>1473</v>
      </c>
      <c r="E699" s="1085"/>
      <c r="F699" s="1085"/>
      <c r="G699" s="1085"/>
      <c r="H699" s="1085"/>
      <c r="AE699" s="1623">
        <v>0.53559999999999997</v>
      </c>
      <c r="AF699" s="1623"/>
      <c r="AG699" s="1623"/>
      <c r="AH699" s="1623"/>
      <c r="AI699" s="1623"/>
    </row>
    <row r="700" spans="1:67" ht="13" customHeight="1">
      <c r="B700" s="1085"/>
      <c r="C700" s="1085"/>
      <c r="D700" s="818" t="s">
        <v>1474</v>
      </c>
      <c r="E700" s="1085"/>
      <c r="F700" s="1085"/>
      <c r="G700" s="1085"/>
      <c r="H700" s="1085"/>
      <c r="W700" s="1414" t="str">
        <f>H335</f>
        <v>California Municipal Finance Authority</v>
      </c>
      <c r="X700" s="1414"/>
      <c r="Y700" s="1414"/>
      <c r="Z700" s="1414"/>
      <c r="AA700" s="1414"/>
      <c r="AB700" s="1414"/>
      <c r="AC700" s="1414"/>
      <c r="AD700" s="1414"/>
      <c r="AE700" s="1414"/>
      <c r="AF700" s="1414"/>
      <c r="AG700" s="1414"/>
      <c r="AH700" s="1414"/>
      <c r="AI700" s="1414"/>
      <c r="AJ700" s="1414"/>
      <c r="AK700" s="1414"/>
    </row>
    <row r="701" spans="1:67" ht="13" customHeight="1">
      <c r="B701" s="1085"/>
      <c r="C701" s="1085"/>
      <c r="D701" s="818"/>
      <c r="E701" s="1085"/>
      <c r="F701" s="1085"/>
      <c r="G701" s="1085"/>
      <c r="H701" s="1085"/>
    </row>
    <row r="702" spans="1:67" ht="13" customHeight="1">
      <c r="B702" s="1085"/>
      <c r="C702" s="1085"/>
      <c r="D702" s="818" t="s">
        <v>1475</v>
      </c>
      <c r="E702" s="1085"/>
      <c r="F702" s="1085"/>
      <c r="G702" s="1085"/>
      <c r="H702" s="1085"/>
      <c r="AE702" s="1353" t="s">
        <v>695</v>
      </c>
      <c r="AF702" s="1353"/>
      <c r="AZ702" s="2" t="s">
        <v>832</v>
      </c>
    </row>
    <row r="703" spans="1:67" ht="13" customHeight="1">
      <c r="B703" s="1085"/>
      <c r="C703" s="1085"/>
      <c r="D703" s="818" t="s">
        <v>1476</v>
      </c>
      <c r="E703" s="1085"/>
      <c r="F703" s="1085"/>
      <c r="G703" s="1085"/>
      <c r="H703" s="1085"/>
      <c r="W703" s="1369"/>
      <c r="X703" s="1369"/>
      <c r="Y703" s="1369"/>
      <c r="Z703" s="1369"/>
      <c r="AA703" s="1369"/>
      <c r="AB703" s="1369"/>
      <c r="AC703" s="1369"/>
      <c r="AD703" s="1369"/>
      <c r="AE703" s="1369"/>
      <c r="AF703" s="1369"/>
      <c r="AG703" s="1369"/>
      <c r="AH703" s="1369"/>
      <c r="AI703" s="1369"/>
      <c r="AJ703" s="1369"/>
      <c r="AK703" s="1369"/>
      <c r="AZ703" s="2" t="s">
        <v>833</v>
      </c>
    </row>
    <row r="704" spans="1:67" ht="13" customHeight="1">
      <c r="B704" s="1085"/>
      <c r="C704" s="1085"/>
      <c r="D704" s="818" t="s">
        <v>1068</v>
      </c>
      <c r="E704" s="1085"/>
      <c r="F704" s="1085"/>
      <c r="G704" s="1085"/>
      <c r="H704" s="1085"/>
      <c r="J704" s="1369"/>
      <c r="K704" s="1369"/>
      <c r="L704" s="1369"/>
      <c r="M704" s="1369"/>
      <c r="N704" s="1369"/>
      <c r="O704" s="1369"/>
      <c r="P704" s="1369"/>
      <c r="Q704" s="1369"/>
      <c r="R704" s="1369"/>
      <c r="S704" s="1369"/>
      <c r="T704" s="1369"/>
      <c r="U704" s="1369"/>
      <c r="V704" s="1369"/>
      <c r="W704" s="1369"/>
      <c r="X704" s="1369"/>
      <c r="AZ704" s="2" t="s">
        <v>834</v>
      </c>
      <c r="BB704" s="2"/>
      <c r="BC704" s="2"/>
      <c r="BD704" s="2"/>
      <c r="BE704" s="2"/>
      <c r="BF704" s="2"/>
      <c r="BJ704" s="2"/>
      <c r="BK704" s="2"/>
      <c r="BL704" s="2"/>
      <c r="BM704" s="2"/>
      <c r="BN704" s="2"/>
      <c r="BO704" s="2"/>
    </row>
    <row r="705" spans="1:185" ht="13" customHeight="1">
      <c r="B705" s="1085"/>
      <c r="C705" s="1085"/>
      <c r="D705" s="818" t="s">
        <v>1070</v>
      </c>
      <c r="J705" s="1421"/>
      <c r="K705" s="1421"/>
      <c r="L705" s="1421"/>
      <c r="M705" s="1421"/>
      <c r="N705" s="1421"/>
      <c r="O705" s="1421"/>
      <c r="P705" s="2" t="s">
        <v>1072</v>
      </c>
      <c r="Q705" s="2"/>
      <c r="R705" s="1370"/>
      <c r="S705" s="1370"/>
      <c r="T705" s="1370"/>
      <c r="AZ705" s="2" t="s">
        <v>835</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3" customHeight="1">
      <c r="B706" s="1085"/>
      <c r="C706" s="1085"/>
      <c r="D706" s="818" t="s">
        <v>1477</v>
      </c>
      <c r="W706" s="1369" t="s">
        <v>478</v>
      </c>
      <c r="X706" s="1369"/>
      <c r="Y706" s="1369"/>
      <c r="Z706" s="1369"/>
      <c r="AA706" s="1369"/>
      <c r="AB706" s="1369"/>
      <c r="AC706" s="1369"/>
      <c r="AD706" s="1369"/>
      <c r="AE706" s="1369"/>
      <c r="AF706" s="1369"/>
      <c r="AG706" s="1369"/>
      <c r="AH706" s="1369"/>
      <c r="AI706" s="1369"/>
      <c r="AJ706" s="1369"/>
      <c r="AK706" s="1369"/>
      <c r="AZ706" s="2" t="s">
        <v>836</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3" customHeight="1">
      <c r="B707" s="1085"/>
      <c r="C707" s="1085"/>
      <c r="D707" s="818"/>
      <c r="E707" s="1369" t="s">
        <v>1378</v>
      </c>
      <c r="F707" s="1369"/>
      <c r="G707" s="1369"/>
      <c r="H707" s="1369"/>
      <c r="I707" s="1369"/>
      <c r="J707" s="1369"/>
      <c r="K707" s="1369"/>
      <c r="L707" s="1369"/>
      <c r="M707" s="1369"/>
      <c r="N707" s="1369"/>
      <c r="O707" s="1369"/>
      <c r="P707" s="1369"/>
      <c r="Q707" s="1369"/>
      <c r="R707" s="1369"/>
      <c r="S707" s="1369"/>
      <c r="T707" s="1369"/>
      <c r="U707" s="1369"/>
      <c r="V707" s="1369"/>
      <c r="W707" s="1369"/>
      <c r="X707" s="1369"/>
      <c r="Y707" s="1369"/>
      <c r="Z707" s="1369"/>
      <c r="AA707" s="1369"/>
      <c r="AB707" s="1369"/>
      <c r="AC707" s="1369"/>
      <c r="AD707" s="1369"/>
      <c r="AE707" s="1369"/>
      <c r="AF707" s="1369"/>
      <c r="AG707" s="1369"/>
      <c r="AH707" s="1369"/>
      <c r="AI707" s="1369"/>
      <c r="AJ707" s="1369"/>
      <c r="AK707" s="1369"/>
      <c r="AZ707" s="2" t="s">
        <v>837</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3" customHeight="1">
      <c r="A709" s="1227" t="s">
        <v>1478</v>
      </c>
      <c r="B709" s="1227"/>
      <c r="C709" s="1227"/>
      <c r="D709" s="1227"/>
      <c r="E709" s="1227"/>
      <c r="F709" s="1227"/>
      <c r="G709" s="1227"/>
      <c r="H709" s="1227"/>
      <c r="I709" s="1227"/>
      <c r="J709" s="1227"/>
      <c r="K709" s="1227"/>
      <c r="L709" s="1227"/>
      <c r="M709" s="1227"/>
      <c r="N709" s="1227"/>
      <c r="O709" s="1227"/>
      <c r="P709" s="1227"/>
      <c r="Q709" s="1227"/>
      <c r="R709" s="1227"/>
      <c r="S709" s="1227"/>
      <c r="T709" s="1227"/>
      <c r="U709" s="1227"/>
      <c r="V709" s="1227"/>
      <c r="W709" s="1227"/>
      <c r="X709" s="1227"/>
      <c r="Y709" s="1227"/>
      <c r="Z709" s="1227"/>
      <c r="AA709" s="1227"/>
      <c r="AB709" s="1227"/>
      <c r="AC709" s="1227"/>
      <c r="AD709" s="1227"/>
      <c r="AE709" s="1227"/>
      <c r="AF709" s="1227"/>
      <c r="AG709" s="1227"/>
      <c r="AH709" s="1227"/>
      <c r="AI709" s="1227"/>
      <c r="AJ709" s="1227"/>
      <c r="AK709" s="1227"/>
      <c r="AL709" s="1227"/>
      <c r="AM709" s="1227"/>
      <c r="AN709" s="1227"/>
      <c r="AO709" s="1227"/>
      <c r="AP709" s="1227"/>
      <c r="AQ709" s="1227"/>
      <c r="AR709" s="1227"/>
      <c r="AS709" s="1227"/>
      <c r="AT709" s="1227"/>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3" customHeight="1">
      <c r="A710" s="1227"/>
      <c r="B710" s="1227"/>
      <c r="C710" s="1227"/>
      <c r="D710" s="1227"/>
      <c r="E710" s="1227"/>
      <c r="F710" s="1227"/>
      <c r="G710" s="1227"/>
      <c r="H710" s="1227"/>
      <c r="I710" s="1227"/>
      <c r="J710" s="1227"/>
      <c r="K710" s="1227"/>
      <c r="L710" s="1227"/>
      <c r="M710" s="1227"/>
      <c r="N710" s="1227"/>
      <c r="O710" s="1227"/>
      <c r="P710" s="1227"/>
      <c r="Q710" s="1227"/>
      <c r="R710" s="1227"/>
      <c r="S710" s="1227"/>
      <c r="T710" s="1227"/>
      <c r="U710" s="1227"/>
      <c r="V710" s="1227"/>
      <c r="W710" s="1227"/>
      <c r="X710" s="1227"/>
      <c r="Y710" s="1227"/>
      <c r="Z710" s="1227"/>
      <c r="AA710" s="1227"/>
      <c r="AB710" s="1227"/>
      <c r="AC710" s="1227"/>
      <c r="AD710" s="1227"/>
      <c r="AE710" s="1227"/>
      <c r="AF710" s="1227"/>
      <c r="AG710" s="1227"/>
      <c r="AH710" s="1227"/>
      <c r="AI710" s="1227"/>
      <c r="AJ710" s="1227"/>
      <c r="AK710" s="1227"/>
      <c r="AL710" s="1227"/>
      <c r="AM710" s="1227"/>
      <c r="AN710" s="1227"/>
      <c r="AO710" s="1227"/>
      <c r="AP710" s="1227"/>
      <c r="AQ710" s="1227"/>
      <c r="AR710" s="1227"/>
      <c r="AS710" s="1227"/>
      <c r="AT710" s="1227"/>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3" customHeight="1">
      <c r="A711" s="1227"/>
      <c r="B711" s="1227"/>
      <c r="C711" s="1227"/>
      <c r="D711" s="1227"/>
      <c r="E711" s="1227"/>
      <c r="F711" s="1227"/>
      <c r="G711" s="1227"/>
      <c r="H711" s="1227"/>
      <c r="I711" s="1227"/>
      <c r="J711" s="1227"/>
      <c r="K711" s="1227"/>
      <c r="L711" s="1227"/>
      <c r="M711" s="1227"/>
      <c r="N711" s="1227"/>
      <c r="O711" s="1227"/>
      <c r="P711" s="1227"/>
      <c r="Q711" s="1227"/>
      <c r="R711" s="1227"/>
      <c r="S711" s="1227"/>
      <c r="T711" s="1227"/>
      <c r="U711" s="1227"/>
      <c r="V711" s="1227"/>
      <c r="W711" s="1227"/>
      <c r="X711" s="1227"/>
      <c r="Y711" s="1227"/>
      <c r="Z711" s="1227"/>
      <c r="AA711" s="1227"/>
      <c r="AB711" s="1227"/>
      <c r="AC711" s="1227"/>
      <c r="AD711" s="1227"/>
      <c r="AE711" s="1227"/>
      <c r="AF711" s="1227"/>
      <c r="AG711" s="1227"/>
      <c r="AH711" s="1227"/>
      <c r="AI711" s="1227"/>
      <c r="AJ711" s="1227"/>
      <c r="AK711" s="1227"/>
      <c r="AL711" s="1227"/>
      <c r="AM711" s="1227"/>
      <c r="AN711" s="1227"/>
      <c r="AO711" s="1227"/>
      <c r="AP711" s="1227"/>
      <c r="AQ711" s="1227"/>
      <c r="AR711" s="1227"/>
      <c r="AS711" s="1227"/>
      <c r="AT711" s="1227"/>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3" customHeight="1">
      <c r="A712" s="1" t="s">
        <v>872</v>
      </c>
      <c r="B712" s="1"/>
      <c r="C712" s="1" t="s">
        <v>1479</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3"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3" customHeight="1">
      <c r="B714" s="1430" t="s">
        <v>1480</v>
      </c>
      <c r="C714" s="1431"/>
      <c r="D714" s="1431"/>
      <c r="E714" s="1431"/>
      <c r="F714" s="1432"/>
      <c r="G714" s="1430" t="s">
        <v>1481</v>
      </c>
      <c r="H714" s="1431"/>
      <c r="I714" s="1431"/>
      <c r="J714" s="1432"/>
      <c r="K714" s="1445" t="s">
        <v>1482</v>
      </c>
      <c r="L714" s="1446"/>
      <c r="M714" s="1446"/>
      <c r="N714" s="1447"/>
      <c r="O714" s="1430" t="s">
        <v>1483</v>
      </c>
      <c r="P714" s="1431"/>
      <c r="Q714" s="1431"/>
      <c r="R714" s="1431"/>
      <c r="S714" s="1432"/>
      <c r="T714" s="1430" t="s">
        <v>1484</v>
      </c>
      <c r="U714" s="1431"/>
      <c r="V714" s="1431"/>
      <c r="W714" s="1432"/>
      <c r="X714" s="1430" t="s">
        <v>1485</v>
      </c>
      <c r="Y714" s="1431"/>
      <c r="Z714" s="1431"/>
      <c r="AA714" s="1431"/>
      <c r="AB714" s="1432"/>
      <c r="AC714" s="1430" t="s">
        <v>1486</v>
      </c>
      <c r="AD714" s="1431"/>
      <c r="AE714" s="1431"/>
      <c r="AF714" s="1431"/>
      <c r="AG714" s="1432"/>
      <c r="AH714" s="1430" t="s">
        <v>1487</v>
      </c>
      <c r="AI714" s="1431"/>
      <c r="AJ714" s="1432"/>
      <c r="AK714" s="1430" t="s">
        <v>1488</v>
      </c>
      <c r="AL714" s="1431"/>
      <c r="AM714" s="1431"/>
      <c r="AN714" s="1431"/>
      <c r="AO714" s="1432"/>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3" customHeight="1">
      <c r="B715" s="1433"/>
      <c r="C715" s="1434"/>
      <c r="D715" s="1434"/>
      <c r="E715" s="1434"/>
      <c r="F715" s="1435"/>
      <c r="G715" s="1433"/>
      <c r="H715" s="1434"/>
      <c r="I715" s="1434"/>
      <c r="J715" s="1435"/>
      <c r="K715" s="1448"/>
      <c r="L715" s="1449"/>
      <c r="M715" s="1449"/>
      <c r="N715" s="1450"/>
      <c r="O715" s="1433"/>
      <c r="P715" s="1434"/>
      <c r="Q715" s="1434"/>
      <c r="R715" s="1434"/>
      <c r="S715" s="1435"/>
      <c r="T715" s="1433"/>
      <c r="U715" s="1434"/>
      <c r="V715" s="1434"/>
      <c r="W715" s="1435"/>
      <c r="X715" s="1433"/>
      <c r="Y715" s="1434"/>
      <c r="Z715" s="1434"/>
      <c r="AA715" s="1434"/>
      <c r="AB715" s="1435"/>
      <c r="AC715" s="1433"/>
      <c r="AD715" s="1434"/>
      <c r="AE715" s="1434"/>
      <c r="AF715" s="1434"/>
      <c r="AG715" s="1435"/>
      <c r="AH715" s="1433"/>
      <c r="AI715" s="1434"/>
      <c r="AJ715" s="1435"/>
      <c r="AK715" s="1433"/>
      <c r="AL715" s="1434"/>
      <c r="AM715" s="1434"/>
      <c r="AN715" s="1434"/>
      <c r="AO715" s="1435"/>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3" customHeight="1">
      <c r="A716" s="2"/>
      <c r="B716" s="1433"/>
      <c r="C716" s="1434"/>
      <c r="D716" s="1434"/>
      <c r="E716" s="1434"/>
      <c r="F716" s="1435"/>
      <c r="G716" s="1433"/>
      <c r="H716" s="1434"/>
      <c r="I716" s="1434"/>
      <c r="J716" s="1435"/>
      <c r="K716" s="1448"/>
      <c r="L716" s="1449"/>
      <c r="M716" s="1449"/>
      <c r="N716" s="1450"/>
      <c r="O716" s="1433"/>
      <c r="P716" s="1434"/>
      <c r="Q716" s="1434"/>
      <c r="R716" s="1434"/>
      <c r="S716" s="1435"/>
      <c r="T716" s="1433"/>
      <c r="U716" s="1434"/>
      <c r="V716" s="1434"/>
      <c r="W716" s="1435"/>
      <c r="X716" s="1433"/>
      <c r="Y716" s="1434"/>
      <c r="Z716" s="1434"/>
      <c r="AA716" s="1434"/>
      <c r="AB716" s="1435"/>
      <c r="AC716" s="1433"/>
      <c r="AD716" s="1434"/>
      <c r="AE716" s="1434"/>
      <c r="AF716" s="1434"/>
      <c r="AG716" s="1435"/>
      <c r="AH716" s="1433"/>
      <c r="AI716" s="1434"/>
      <c r="AJ716" s="1435"/>
      <c r="AK716" s="1433"/>
      <c r="AL716" s="1434"/>
      <c r="AM716" s="1434"/>
      <c r="AN716" s="1434"/>
      <c r="AO716" s="1435"/>
      <c r="AP716" s="2"/>
      <c r="AQ716" s="2"/>
      <c r="AR716" s="2"/>
      <c r="AS716" s="2"/>
      <c r="BA716" s="2"/>
      <c r="BB716" s="2"/>
      <c r="BC716" s="2"/>
      <c r="BD716" s="2"/>
      <c r="BE716" s="113"/>
      <c r="BF716" s="114" t="s">
        <v>1489</v>
      </c>
      <c r="BG716" s="113"/>
      <c r="BH716" s="113"/>
      <c r="BI716" s="2"/>
      <c r="BJ716" s="2"/>
      <c r="BK716" s="2"/>
      <c r="BL716" s="2"/>
      <c r="BM716" s="2"/>
      <c r="BN716" s="2"/>
      <c r="BS716" s="114" t="s">
        <v>1490</v>
      </c>
      <c r="BT716" s="113"/>
      <c r="BU716" s="113"/>
      <c r="CC716" s="2"/>
      <c r="CD716" s="2"/>
      <c r="CE716" s="2"/>
      <c r="CF716" s="2"/>
      <c r="CG716" s="2"/>
      <c r="CH716" s="2"/>
      <c r="CI716" s="2"/>
      <c r="CJ716" s="2"/>
      <c r="CK716" s="2"/>
      <c r="CL716" s="2"/>
      <c r="CM716" s="2"/>
      <c r="CN716" s="2"/>
      <c r="CO716" s="2"/>
      <c r="CP716" s="2" t="s">
        <v>1491</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1492</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1493</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 customHeight="1">
      <c r="A717" s="2"/>
      <c r="B717" s="1436"/>
      <c r="C717" s="1437"/>
      <c r="D717" s="1437"/>
      <c r="E717" s="1437"/>
      <c r="F717" s="1438"/>
      <c r="G717" s="1436"/>
      <c r="H717" s="1437"/>
      <c r="I717" s="1437"/>
      <c r="J717" s="1438"/>
      <c r="K717" s="1448"/>
      <c r="L717" s="1449"/>
      <c r="M717" s="1449"/>
      <c r="N717" s="1450"/>
      <c r="O717" s="1436"/>
      <c r="P717" s="1437"/>
      <c r="Q717" s="1437"/>
      <c r="R717" s="1437"/>
      <c r="S717" s="1438"/>
      <c r="T717" s="1436"/>
      <c r="U717" s="1437"/>
      <c r="V717" s="1437"/>
      <c r="W717" s="1438"/>
      <c r="X717" s="1436"/>
      <c r="Y717" s="1437"/>
      <c r="Z717" s="1437"/>
      <c r="AA717" s="1437"/>
      <c r="AB717" s="1438"/>
      <c r="AC717" s="1436"/>
      <c r="AD717" s="1437"/>
      <c r="AE717" s="1437"/>
      <c r="AF717" s="1437"/>
      <c r="AG717" s="1438"/>
      <c r="AH717" s="1436"/>
      <c r="AI717" s="1437"/>
      <c r="AJ717" s="1438"/>
      <c r="AK717" s="1436"/>
      <c r="AL717" s="1437"/>
      <c r="AM717" s="1437"/>
      <c r="AN717" s="1437"/>
      <c r="AO717" s="1438"/>
      <c r="AP717" s="2"/>
      <c r="AQ717" s="2"/>
      <c r="AR717" s="2"/>
      <c r="AS717" s="2"/>
      <c r="AZ717" s="57" t="s">
        <v>1494</v>
      </c>
      <c r="BA717" s="2"/>
      <c r="BB717" s="2"/>
      <c r="BC717" s="2"/>
      <c r="BD717" s="2"/>
      <c r="BE717" s="113"/>
      <c r="BF717" s="176" t="s">
        <v>1495</v>
      </c>
      <c r="BG717" s="180" t="s">
        <v>1496</v>
      </c>
      <c r="BH717" s="179" t="s">
        <v>1497</v>
      </c>
      <c r="BI717" s="2"/>
      <c r="BJ717" s="2"/>
      <c r="BK717" s="2"/>
      <c r="BL717" s="2"/>
      <c r="BM717" s="2"/>
      <c r="BN717" s="2"/>
      <c r="BS717" s="176" t="s">
        <v>1495</v>
      </c>
      <c r="BT717" s="180" t="s">
        <v>1496</v>
      </c>
      <c r="BU717" s="179" t="s">
        <v>1497</v>
      </c>
      <c r="CC717" s="2"/>
      <c r="CD717" s="2"/>
      <c r="CE717" s="2"/>
      <c r="CF717" s="2"/>
      <c r="CG717" s="1090" t="s">
        <v>1498</v>
      </c>
      <c r="CH717" s="1092"/>
      <c r="CI717" s="1292"/>
      <c r="CJ717" s="1294"/>
      <c r="CK717" s="1090" t="s">
        <v>1499</v>
      </c>
      <c r="CL717" s="1092"/>
      <c r="CM717" s="1292"/>
      <c r="CN717" s="1294"/>
      <c r="CO717" s="2"/>
      <c r="CP717" s="1423" t="s">
        <v>838</v>
      </c>
      <c r="CQ717" s="1424"/>
      <c r="CR717" s="1424"/>
      <c r="CS717" s="1424"/>
      <c r="CT717" s="1425"/>
      <c r="CU717" s="1422" t="s">
        <v>833</v>
      </c>
      <c r="CV717" s="1422"/>
      <c r="CW717" s="1422"/>
      <c r="CX717" s="1422"/>
      <c r="CY717" s="1422"/>
      <c r="CZ717" s="1422" t="s">
        <v>834</v>
      </c>
      <c r="DA717" s="1422"/>
      <c r="DB717" s="1422"/>
      <c r="DC717" s="1422"/>
      <c r="DD717" s="1422"/>
      <c r="DE717" s="1422" t="s">
        <v>835</v>
      </c>
      <c r="DF717" s="1422"/>
      <c r="DG717" s="1422"/>
      <c r="DH717" s="1422"/>
      <c r="DI717" s="1422"/>
      <c r="DJ717" s="1422" t="s">
        <v>839</v>
      </c>
      <c r="DK717" s="1422"/>
      <c r="DL717" s="1422"/>
      <c r="DM717" s="1422"/>
      <c r="DN717" s="1422"/>
      <c r="DO717" s="1422" t="s">
        <v>837</v>
      </c>
      <c r="DP717" s="1422"/>
      <c r="DQ717" s="1422"/>
      <c r="DR717" s="1422"/>
      <c r="DS717" s="1422"/>
      <c r="DT717" s="1088"/>
      <c r="DU717" s="1422" t="s">
        <v>838</v>
      </c>
      <c r="DV717" s="1422"/>
      <c r="DW717" s="1422"/>
      <c r="DX717" s="1422"/>
      <c r="DY717" s="1422"/>
      <c r="DZ717" s="1422" t="s">
        <v>833</v>
      </c>
      <c r="EA717" s="1422"/>
      <c r="EB717" s="1422"/>
      <c r="EC717" s="1422"/>
      <c r="ED717" s="1422"/>
      <c r="EE717" s="1422" t="s">
        <v>834</v>
      </c>
      <c r="EF717" s="1422"/>
      <c r="EG717" s="1422"/>
      <c r="EH717" s="1422"/>
      <c r="EI717" s="1422"/>
      <c r="EJ717" s="1422" t="s">
        <v>835</v>
      </c>
      <c r="EK717" s="1422"/>
      <c r="EL717" s="1422"/>
      <c r="EM717" s="1422"/>
      <c r="EN717" s="1422"/>
      <c r="EO717" s="1422" t="s">
        <v>839</v>
      </c>
      <c r="EP717" s="1422"/>
      <c r="EQ717" s="1422"/>
      <c r="ER717" s="1422"/>
      <c r="ES717" s="1422"/>
      <c r="ET717" s="1422" t="s">
        <v>837</v>
      </c>
      <c r="EU717" s="1422"/>
      <c r="EV717" s="1422"/>
      <c r="EW717" s="1422"/>
      <c r="EX717" s="1422"/>
      <c r="EY717" s="2"/>
      <c r="EZ717" s="1422" t="s">
        <v>838</v>
      </c>
      <c r="FA717" s="1422"/>
      <c r="FB717" s="1422"/>
      <c r="FC717" s="1422"/>
      <c r="FD717" s="1422"/>
      <c r="FE717" s="1422" t="s">
        <v>833</v>
      </c>
      <c r="FF717" s="1422"/>
      <c r="FG717" s="1422"/>
      <c r="FH717" s="1422"/>
      <c r="FI717" s="1422"/>
      <c r="FJ717" s="1422" t="s">
        <v>834</v>
      </c>
      <c r="FK717" s="1422"/>
      <c r="FL717" s="1422"/>
      <c r="FM717" s="1422"/>
      <c r="FN717" s="1422"/>
      <c r="FO717" s="1422" t="s">
        <v>835</v>
      </c>
      <c r="FP717" s="1422"/>
      <c r="FQ717" s="1422"/>
      <c r="FR717" s="1422"/>
      <c r="FS717" s="1422"/>
      <c r="FT717" s="1422" t="s">
        <v>839</v>
      </c>
      <c r="FU717" s="1422"/>
      <c r="FV717" s="1422"/>
      <c r="FW717" s="1422"/>
      <c r="FX717" s="1422"/>
      <c r="FY717" s="1422" t="s">
        <v>837</v>
      </c>
      <c r="FZ717" s="1422"/>
      <c r="GA717" s="1422"/>
      <c r="GB717" s="1422"/>
      <c r="GC717" s="1422"/>
    </row>
    <row r="718" spans="1:185" ht="13" customHeight="1">
      <c r="A718" s="2"/>
      <c r="B718" s="1306" t="s">
        <v>833</v>
      </c>
      <c r="C718" s="1307"/>
      <c r="D718" s="1307"/>
      <c r="E718" s="1307"/>
      <c r="F718" s="1308"/>
      <c r="G718" s="1315">
        <v>21</v>
      </c>
      <c r="H718" s="1316"/>
      <c r="I718" s="1316"/>
      <c r="J718" s="1317"/>
      <c r="K718" s="1538">
        <v>594</v>
      </c>
      <c r="L718" s="1539"/>
      <c r="M718" s="1539"/>
      <c r="N718" s="1540"/>
      <c r="O718" s="1404">
        <v>410</v>
      </c>
      <c r="P718" s="1405"/>
      <c r="Q718" s="1405"/>
      <c r="R718" s="1405"/>
      <c r="S718" s="1406"/>
      <c r="T718" s="1404">
        <v>85</v>
      </c>
      <c r="U718" s="1405"/>
      <c r="V718" s="1405"/>
      <c r="W718" s="1406"/>
      <c r="X718" s="1309">
        <f t="shared" ref="X718:X741" si="8">O718+T718</f>
        <v>495</v>
      </c>
      <c r="Y718" s="1310"/>
      <c r="Z718" s="1310"/>
      <c r="AA718" s="1310"/>
      <c r="AB718" s="1311"/>
      <c r="AC718" s="1544">
        <v>0.3</v>
      </c>
      <c r="AD718" s="1545"/>
      <c r="AE718" s="1545"/>
      <c r="AF718" s="1545"/>
      <c r="AG718" s="1546"/>
      <c r="AH718" s="1312">
        <f>IF($AC718&gt;0,($X718/$AZ718), "")</f>
        <v>0.3</v>
      </c>
      <c r="AI718" s="1313"/>
      <c r="AJ718" s="1314"/>
      <c r="AK718" s="1306" t="s">
        <v>1302</v>
      </c>
      <c r="AL718" s="1307"/>
      <c r="AM718" s="1307"/>
      <c r="AN718" s="1307"/>
      <c r="AO718" s="1308"/>
      <c r="AP718" s="2"/>
      <c r="AQ718" s="2"/>
      <c r="AR718" s="2"/>
      <c r="AS718" s="2"/>
      <c r="AZ718" s="68">
        <f t="shared" ref="AZ718:AZ752" si="9">IF($G718=0,"N/A",VLOOKUP($T$189,TC_Rent,(MATCH($B718,bedrooms,FALSE)),FALSE))</f>
        <v>1650</v>
      </c>
      <c r="BA718" s="2"/>
      <c r="BB718" s="2"/>
      <c r="BC718" s="2"/>
      <c r="BD718" s="2"/>
      <c r="BE718" s="113"/>
      <c r="BF718" s="177">
        <f t="shared" ref="BF718:BF752" si="10">G718</f>
        <v>21</v>
      </c>
      <c r="BG718" s="181">
        <f t="shared" ref="BG718:BG752" si="11">IF($BF$753=0,0,BF718/$BF$753)</f>
        <v>0.26582278481012656</v>
      </c>
      <c r="BH718" s="182">
        <f t="shared" ref="BH718:BH752" si="12">IF(BG718=0,"",BG718*AC718)</f>
        <v>7.9746835443037969E-2</v>
      </c>
      <c r="BI718" s="2"/>
      <c r="BJ718" s="2"/>
      <c r="BK718" s="2"/>
      <c r="BL718" s="2"/>
      <c r="BM718" s="2"/>
      <c r="BN718" s="2"/>
      <c r="BS718" s="177">
        <f t="shared" ref="BS718:BS752" si="13">G718</f>
        <v>21</v>
      </c>
      <c r="BT718" s="181">
        <f t="shared" ref="BT718:BT752" si="14">IF($BS$753=0,0,BS718/$BS$753)</f>
        <v>0.26582278481012656</v>
      </c>
      <c r="BU718" s="182">
        <f t="shared" ref="BU718:BU752" si="15">IF(BT718=0,"",BT718*AH718)</f>
        <v>7.9746835443037969E-2</v>
      </c>
      <c r="CC718" s="2"/>
      <c r="CD718" s="2"/>
      <c r="CE718" s="2"/>
      <c r="CF718" s="2"/>
      <c r="CG718" s="1292">
        <f>IF(AND(AC718&lt;=0.5,AC718&gt;=0.36),1,0)</f>
        <v>0</v>
      </c>
      <c r="CH718" s="1294"/>
      <c r="CI718" s="1292">
        <f>IF(CG718=1,G718,0)</f>
        <v>0</v>
      </c>
      <c r="CJ718" s="1294"/>
      <c r="CK718" s="1292">
        <f t="shared" ref="CK718:CK752" si="16">IF(AND(AC718&lt;=0.35,AC718&gt;0),1,0)</f>
        <v>1</v>
      </c>
      <c r="CL718" s="1294"/>
      <c r="CM718" s="1292">
        <f t="shared" ref="CM718:CM752" si="17">IF(CK718=1,G718,0)</f>
        <v>21</v>
      </c>
      <c r="CN718" s="1294"/>
      <c r="CO718" s="2"/>
      <c r="CP718" s="1289">
        <f t="shared" ref="CP718:CP752" si="18">IF(B718="SRO/Studio",G718,0)</f>
        <v>0</v>
      </c>
      <c r="CQ718" s="1290"/>
      <c r="CR718" s="1290"/>
      <c r="CS718" s="1290"/>
      <c r="CT718" s="1291"/>
      <c r="CU718" s="1305">
        <f t="shared" ref="CU718:CU752" si="19">IF(B718="1 Bedroom",G718,0)</f>
        <v>21</v>
      </c>
      <c r="CV718" s="1305"/>
      <c r="CW718" s="1305"/>
      <c r="CX718" s="1305"/>
      <c r="CY718" s="1305"/>
      <c r="CZ718" s="1305">
        <f t="shared" ref="CZ718:CZ752" si="20">IF(B718="2 Bedrooms",G718,0)</f>
        <v>0</v>
      </c>
      <c r="DA718" s="1305"/>
      <c r="DB718" s="1305"/>
      <c r="DC718" s="1305"/>
      <c r="DD718" s="1305"/>
      <c r="DE718" s="1305">
        <f t="shared" ref="DE718:DE752" si="21">IF(B718="3 Bedrooms",G718,0)</f>
        <v>0</v>
      </c>
      <c r="DF718" s="1305"/>
      <c r="DG718" s="1305"/>
      <c r="DH718" s="1305"/>
      <c r="DI718" s="1305"/>
      <c r="DJ718" s="1305">
        <f t="shared" ref="DJ718:DJ752" si="22">IF(B718="4 Bedrooms",G718,0)</f>
        <v>0</v>
      </c>
      <c r="DK718" s="1305"/>
      <c r="DL718" s="1305"/>
      <c r="DM718" s="1305"/>
      <c r="DN718" s="1305"/>
      <c r="DO718" s="1305">
        <f t="shared" ref="DO718:DO752" si="23">IF(B718="5 Bedrooms",G718,0)</f>
        <v>0</v>
      </c>
      <c r="DP718" s="1305"/>
      <c r="DQ718" s="1305"/>
      <c r="DR718" s="1305"/>
      <c r="DS718" s="1305"/>
      <c r="DT718" s="1068"/>
      <c r="DU718" s="1319">
        <f t="shared" ref="DU718:DU752" si="24">IF(AND(B718="SRO/Studio",AC718&lt;=0.3),G718,0)</f>
        <v>0</v>
      </c>
      <c r="DV718" s="1319"/>
      <c r="DW718" s="1319"/>
      <c r="DX718" s="1319"/>
      <c r="DY718" s="1319"/>
      <c r="DZ718" s="1319">
        <f t="shared" ref="DZ718:DZ752" si="25">IF(AND(B718="1 Bedroom",AC718&lt;=0.3),G718,0)</f>
        <v>21</v>
      </c>
      <c r="EA718" s="1319"/>
      <c r="EB718" s="1319"/>
      <c r="EC718" s="1319"/>
      <c r="ED718" s="1319"/>
      <c r="EE718" s="1319">
        <f t="shared" ref="EE718:EE752" si="26">IF(AND(B718="2 Bedrooms",AC718&lt;=0.3),G718,0)</f>
        <v>0</v>
      </c>
      <c r="EF718" s="1319"/>
      <c r="EG718" s="1319"/>
      <c r="EH718" s="1319"/>
      <c r="EI718" s="1319"/>
      <c r="EJ718" s="1319">
        <f t="shared" ref="EJ718:EJ752" si="27">IF(AND(B718="3 Bedrooms",AC718&lt;=0.3),G718,0)</f>
        <v>0</v>
      </c>
      <c r="EK718" s="1319"/>
      <c r="EL718" s="1319"/>
      <c r="EM718" s="1319"/>
      <c r="EN718" s="1319"/>
      <c r="EO718" s="1319">
        <f t="shared" ref="EO718:EO752" si="28">IF(AND(B718="4 Bedrooms",AC718&lt;=0.3),G718,0)</f>
        <v>0</v>
      </c>
      <c r="EP718" s="1319"/>
      <c r="EQ718" s="1319"/>
      <c r="ER718" s="1319"/>
      <c r="ES718" s="1319"/>
      <c r="ET718" s="1319">
        <f t="shared" ref="ET718:ET752" si="29">IF(AND(B718="5 Bedrooms",AC718&lt;=0.3),G718,0)</f>
        <v>0</v>
      </c>
      <c r="EU718" s="1319"/>
      <c r="EV718" s="1319"/>
      <c r="EW718" s="1319"/>
      <c r="EX718" s="1319"/>
      <c r="EY718" s="2"/>
      <c r="EZ718" s="1292" t="str">
        <f t="shared" ref="EZ718:EZ752" si="30">IF(CP718&gt;0,O718,"")</f>
        <v/>
      </c>
      <c r="FA718" s="1293"/>
      <c r="FB718" s="1293"/>
      <c r="FC718" s="1293"/>
      <c r="FD718" s="1294"/>
      <c r="FE718" s="1292">
        <f t="shared" ref="FE718:FE752" si="31">IF(CU718&gt;0,O718,"")</f>
        <v>410</v>
      </c>
      <c r="FF718" s="1293"/>
      <c r="FG718" s="1293"/>
      <c r="FH718" s="1293"/>
      <c r="FI718" s="1294"/>
      <c r="FJ718" s="1292" t="str">
        <f t="shared" ref="FJ718:FJ752" si="32">IF(CZ718&gt;0,O718,"")</f>
        <v/>
      </c>
      <c r="FK718" s="1293"/>
      <c r="FL718" s="1293"/>
      <c r="FM718" s="1293"/>
      <c r="FN718" s="1294"/>
      <c r="FO718" s="1292" t="str">
        <f t="shared" ref="FO718:FO752" si="33">IF(DE718&gt;0,O718,"")</f>
        <v/>
      </c>
      <c r="FP718" s="1293"/>
      <c r="FQ718" s="1293"/>
      <c r="FR718" s="1293"/>
      <c r="FS718" s="1294"/>
      <c r="FT718" s="1292" t="str">
        <f t="shared" ref="FT718:FT752" si="34">IF(DJ718&gt;0,O718,"")</f>
        <v/>
      </c>
      <c r="FU718" s="1293"/>
      <c r="FV718" s="1293"/>
      <c r="FW718" s="1293"/>
      <c r="FX718" s="1294"/>
      <c r="FY718" s="1292" t="str">
        <f t="shared" ref="FY718:FY752" si="35">IF(DO718&gt;0,O718,"")</f>
        <v/>
      </c>
      <c r="FZ718" s="1293"/>
      <c r="GA718" s="1293"/>
      <c r="GB718" s="1293"/>
      <c r="GC718" s="1294"/>
    </row>
    <row r="719" spans="1:185" ht="13" customHeight="1">
      <c r="A719" s="2"/>
      <c r="B719" s="1306" t="s">
        <v>834</v>
      </c>
      <c r="C719" s="1307"/>
      <c r="D719" s="1307"/>
      <c r="E719" s="1307"/>
      <c r="F719" s="1308"/>
      <c r="G719" s="1315">
        <v>3</v>
      </c>
      <c r="H719" s="1316"/>
      <c r="I719" s="1316"/>
      <c r="J719" s="1317"/>
      <c r="K719" s="1538">
        <v>825.5</v>
      </c>
      <c r="L719" s="1539"/>
      <c r="M719" s="1539"/>
      <c r="N719" s="1540"/>
      <c r="O719" s="1404">
        <v>469</v>
      </c>
      <c r="P719" s="1405"/>
      <c r="Q719" s="1405"/>
      <c r="R719" s="1405"/>
      <c r="S719" s="1406"/>
      <c r="T719" s="1404">
        <v>125</v>
      </c>
      <c r="U719" s="1405"/>
      <c r="V719" s="1405"/>
      <c r="W719" s="1406"/>
      <c r="X719" s="1309">
        <f t="shared" si="8"/>
        <v>594</v>
      </c>
      <c r="Y719" s="1310"/>
      <c r="Z719" s="1310"/>
      <c r="AA719" s="1310"/>
      <c r="AB719" s="1311"/>
      <c r="AC719" s="1544">
        <v>0.3</v>
      </c>
      <c r="AD719" s="1545"/>
      <c r="AE719" s="1545"/>
      <c r="AF719" s="1545"/>
      <c r="AG719" s="1546"/>
      <c r="AH719" s="1312">
        <f t="shared" ref="AH719:AH752" si="36">IF($AC719&gt;0,($X719/$AZ719), "")</f>
        <v>0.3</v>
      </c>
      <c r="AI719" s="1313"/>
      <c r="AJ719" s="1314"/>
      <c r="AK719" s="1306" t="s">
        <v>1302</v>
      </c>
      <c r="AL719" s="1307"/>
      <c r="AM719" s="1307"/>
      <c r="AN719" s="1307"/>
      <c r="AO719" s="1308"/>
      <c r="AP719" s="2"/>
      <c r="AQ719" s="2"/>
      <c r="AR719" s="2"/>
      <c r="AS719" s="2"/>
      <c r="AZ719" s="68">
        <f>IF($G719=0,"N/A",VLOOKUP($T$189,TC_Rent,(MATCH($B719,bedrooms,FALSE)),FALSE))</f>
        <v>1980</v>
      </c>
      <c r="BA719" s="2"/>
      <c r="BB719" s="2"/>
      <c r="BC719" s="2"/>
      <c r="BD719" s="2"/>
      <c r="BE719" s="113"/>
      <c r="BF719" s="178">
        <f>G719</f>
        <v>3</v>
      </c>
      <c r="BG719" s="181">
        <f t="shared" si="11"/>
        <v>3.7974683544303799E-2</v>
      </c>
      <c r="BH719" s="182">
        <f t="shared" si="12"/>
        <v>1.1392405063291139E-2</v>
      </c>
      <c r="BI719" s="2"/>
      <c r="BJ719" s="2"/>
      <c r="BK719" s="2"/>
      <c r="BL719" s="2"/>
      <c r="BM719" s="2"/>
      <c r="BN719" s="2"/>
      <c r="BS719" s="178">
        <f>G719</f>
        <v>3</v>
      </c>
      <c r="BT719" s="181">
        <f t="shared" si="14"/>
        <v>3.7974683544303799E-2</v>
      </c>
      <c r="BU719" s="182">
        <f t="shared" si="15"/>
        <v>1.1392405063291139E-2</v>
      </c>
      <c r="CC719" s="2"/>
      <c r="CD719" s="2"/>
      <c r="CE719" s="2"/>
      <c r="CF719" s="2"/>
      <c r="CG719" s="1292">
        <f t="shared" ref="CG719:CG752" si="37">IF(AND(AC719&lt;=0.5,AC719&gt;=0.36),1,0)</f>
        <v>0</v>
      </c>
      <c r="CH719" s="1294"/>
      <c r="CI719" s="1292">
        <f>IF(CG719=1,G719,0)</f>
        <v>0</v>
      </c>
      <c r="CJ719" s="1294"/>
      <c r="CK719" s="1292">
        <f t="shared" si="16"/>
        <v>1</v>
      </c>
      <c r="CL719" s="1294"/>
      <c r="CM719" s="1292">
        <f>IF(CK719=1,G719,0)</f>
        <v>3</v>
      </c>
      <c r="CN719" s="1294"/>
      <c r="CO719" s="2"/>
      <c r="CP719" s="1289">
        <f>IF(B719="SRO/Studio",G719,0)</f>
        <v>0</v>
      </c>
      <c r="CQ719" s="1290"/>
      <c r="CR719" s="1290"/>
      <c r="CS719" s="1290"/>
      <c r="CT719" s="1291"/>
      <c r="CU719" s="1305">
        <f>IF(B719="1 Bedroom",G719,0)</f>
        <v>0</v>
      </c>
      <c r="CV719" s="1305"/>
      <c r="CW719" s="1305"/>
      <c r="CX719" s="1305"/>
      <c r="CY719" s="1305"/>
      <c r="CZ719" s="1305">
        <f>IF(B719="2 Bedrooms",G719,0)</f>
        <v>3</v>
      </c>
      <c r="DA719" s="1305"/>
      <c r="DB719" s="1305"/>
      <c r="DC719" s="1305"/>
      <c r="DD719" s="1305"/>
      <c r="DE719" s="1305">
        <f>IF(B719="3 Bedrooms",G719,0)</f>
        <v>0</v>
      </c>
      <c r="DF719" s="1305"/>
      <c r="DG719" s="1305"/>
      <c r="DH719" s="1305"/>
      <c r="DI719" s="1305"/>
      <c r="DJ719" s="1305">
        <f>IF(B719="4 Bedrooms",G719,0)</f>
        <v>0</v>
      </c>
      <c r="DK719" s="1305"/>
      <c r="DL719" s="1305"/>
      <c r="DM719" s="1305"/>
      <c r="DN719" s="1305"/>
      <c r="DO719" s="1305">
        <f>IF(B719="5 Bedrooms",G719,0)</f>
        <v>0</v>
      </c>
      <c r="DP719" s="1305"/>
      <c r="DQ719" s="1305"/>
      <c r="DR719" s="1305"/>
      <c r="DS719" s="1305"/>
      <c r="DT719" s="1068"/>
      <c r="DU719" s="1319">
        <f>IF(AND(B719="SRO/Studio",AC719&lt;=0.3),G719,0)</f>
        <v>0</v>
      </c>
      <c r="DV719" s="1319"/>
      <c r="DW719" s="1319"/>
      <c r="DX719" s="1319"/>
      <c r="DY719" s="1319"/>
      <c r="DZ719" s="1319">
        <f>IF(AND(B719="1 Bedroom",AC719&lt;=0.3),G719,0)</f>
        <v>0</v>
      </c>
      <c r="EA719" s="1319"/>
      <c r="EB719" s="1319"/>
      <c r="EC719" s="1319"/>
      <c r="ED719" s="1319"/>
      <c r="EE719" s="1319">
        <f>IF(AND(B719="2 Bedrooms",AC719&lt;=0.3),G719,0)</f>
        <v>3</v>
      </c>
      <c r="EF719" s="1319"/>
      <c r="EG719" s="1319"/>
      <c r="EH719" s="1319"/>
      <c r="EI719" s="1319"/>
      <c r="EJ719" s="1319">
        <f>IF(AND(B719="3 Bedrooms",AC719&lt;=0.3),G719,0)</f>
        <v>0</v>
      </c>
      <c r="EK719" s="1319"/>
      <c r="EL719" s="1319"/>
      <c r="EM719" s="1319"/>
      <c r="EN719" s="1319"/>
      <c r="EO719" s="1319">
        <f>IF(AND(B719="4 Bedrooms",AC719&lt;=0.3),G719,0)</f>
        <v>0</v>
      </c>
      <c r="EP719" s="1319"/>
      <c r="EQ719" s="1319"/>
      <c r="ER719" s="1319"/>
      <c r="ES719" s="1319"/>
      <c r="ET719" s="1319">
        <f>IF(AND(B719="5 Bedrooms",AC719&lt;=0.3),G719,0)</f>
        <v>0</v>
      </c>
      <c r="EU719" s="1319"/>
      <c r="EV719" s="1319"/>
      <c r="EW719" s="1319"/>
      <c r="EX719" s="1319"/>
      <c r="EY719" s="2"/>
      <c r="EZ719" s="1292" t="str">
        <f t="shared" si="30"/>
        <v/>
      </c>
      <c r="FA719" s="1293"/>
      <c r="FB719" s="1293"/>
      <c r="FC719" s="1293"/>
      <c r="FD719" s="1294"/>
      <c r="FE719" s="1292" t="str">
        <f t="shared" si="31"/>
        <v/>
      </c>
      <c r="FF719" s="1293"/>
      <c r="FG719" s="1293"/>
      <c r="FH719" s="1293"/>
      <c r="FI719" s="1294"/>
      <c r="FJ719" s="1292">
        <f t="shared" si="32"/>
        <v>469</v>
      </c>
      <c r="FK719" s="1293"/>
      <c r="FL719" s="1293"/>
      <c r="FM719" s="1293"/>
      <c r="FN719" s="1294"/>
      <c r="FO719" s="1292" t="str">
        <f t="shared" si="33"/>
        <v/>
      </c>
      <c r="FP719" s="1293"/>
      <c r="FQ719" s="1293"/>
      <c r="FR719" s="1293"/>
      <c r="FS719" s="1294"/>
      <c r="FT719" s="1292" t="str">
        <f t="shared" si="34"/>
        <v/>
      </c>
      <c r="FU719" s="1293"/>
      <c r="FV719" s="1293"/>
      <c r="FW719" s="1293"/>
      <c r="FX719" s="1294"/>
      <c r="FY719" s="1292" t="str">
        <f t="shared" si="35"/>
        <v/>
      </c>
      <c r="FZ719" s="1293"/>
      <c r="GA719" s="1293"/>
      <c r="GB719" s="1293"/>
      <c r="GC719" s="1294"/>
    </row>
    <row r="720" spans="1:185" ht="13" customHeight="1">
      <c r="A720" s="2"/>
      <c r="B720" s="1306" t="s">
        <v>833</v>
      </c>
      <c r="C720" s="1307"/>
      <c r="D720" s="1307"/>
      <c r="E720" s="1307"/>
      <c r="F720" s="1308"/>
      <c r="G720" s="1315">
        <v>7</v>
      </c>
      <c r="H720" s="1316"/>
      <c r="I720" s="1316"/>
      <c r="J720" s="1317"/>
      <c r="K720" s="1538">
        <f>+K718</f>
        <v>594</v>
      </c>
      <c r="L720" s="1539"/>
      <c r="M720" s="1539"/>
      <c r="N720" s="1540"/>
      <c r="O720" s="1404">
        <v>575</v>
      </c>
      <c r="P720" s="1405"/>
      <c r="Q720" s="1405"/>
      <c r="R720" s="1405"/>
      <c r="S720" s="1406"/>
      <c r="T720" s="1404">
        <v>85</v>
      </c>
      <c r="U720" s="1405"/>
      <c r="V720" s="1405"/>
      <c r="W720" s="1406"/>
      <c r="X720" s="1309">
        <f t="shared" si="8"/>
        <v>660</v>
      </c>
      <c r="Y720" s="1310"/>
      <c r="Z720" s="1310"/>
      <c r="AA720" s="1310"/>
      <c r="AB720" s="1311"/>
      <c r="AC720" s="1544">
        <v>0.4</v>
      </c>
      <c r="AD720" s="1545"/>
      <c r="AE720" s="1545"/>
      <c r="AF720" s="1545"/>
      <c r="AG720" s="1546"/>
      <c r="AH720" s="1312">
        <f t="shared" si="36"/>
        <v>0.4</v>
      </c>
      <c r="AI720" s="1313"/>
      <c r="AJ720" s="1314"/>
      <c r="AK720" s="1306" t="s">
        <v>800</v>
      </c>
      <c r="AL720" s="1307"/>
      <c r="AM720" s="1307"/>
      <c r="AN720" s="1307"/>
      <c r="AO720" s="1308"/>
      <c r="AP720" s="2"/>
      <c r="AQ720" s="2"/>
      <c r="AR720" s="2"/>
      <c r="AS720" s="2"/>
      <c r="AZ720" s="68">
        <f>IF($G720=0,"N/A",VLOOKUP($T$189,TC_Rent,(MATCH($B720,bedrooms,FALSE)),FALSE))</f>
        <v>1650</v>
      </c>
      <c r="BA720" s="2"/>
      <c r="BB720" s="2"/>
      <c r="BC720" s="2"/>
      <c r="BD720" s="2"/>
      <c r="BE720" s="113"/>
      <c r="BF720" s="178">
        <f>G720</f>
        <v>7</v>
      </c>
      <c r="BG720" s="181">
        <f t="shared" si="11"/>
        <v>8.8607594936708861E-2</v>
      </c>
      <c r="BH720" s="182">
        <f t="shared" si="12"/>
        <v>3.5443037974683546E-2</v>
      </c>
      <c r="BI720" s="2"/>
      <c r="BJ720" s="2"/>
      <c r="BK720" s="2"/>
      <c r="BL720" s="2"/>
      <c r="BM720" s="2"/>
      <c r="BN720" s="2"/>
      <c r="BS720" s="178">
        <f>G720</f>
        <v>7</v>
      </c>
      <c r="BT720" s="181">
        <f t="shared" si="14"/>
        <v>8.8607594936708861E-2</v>
      </c>
      <c r="BU720" s="182">
        <f t="shared" si="15"/>
        <v>3.5443037974683546E-2</v>
      </c>
      <c r="CC720" s="2"/>
      <c r="CD720" s="2"/>
      <c r="CE720" s="2"/>
      <c r="CF720" s="2"/>
      <c r="CG720" s="1292">
        <f t="shared" si="37"/>
        <v>1</v>
      </c>
      <c r="CH720" s="1294"/>
      <c r="CI720" s="1292">
        <f>IF(CG720=1,G720,0)</f>
        <v>7</v>
      </c>
      <c r="CJ720" s="1294"/>
      <c r="CK720" s="1292">
        <f t="shared" si="16"/>
        <v>0</v>
      </c>
      <c r="CL720" s="1294"/>
      <c r="CM720" s="1292">
        <f>IF(CK720=1,G720,0)</f>
        <v>0</v>
      </c>
      <c r="CN720" s="1294"/>
      <c r="CO720" s="2"/>
      <c r="CP720" s="1289">
        <f>IF(B720="SRO/Studio",G720,0)</f>
        <v>0</v>
      </c>
      <c r="CQ720" s="1290"/>
      <c r="CR720" s="1290"/>
      <c r="CS720" s="1290"/>
      <c r="CT720" s="1291"/>
      <c r="CU720" s="1305">
        <f>IF(B720="1 Bedroom",G720,0)</f>
        <v>7</v>
      </c>
      <c r="CV720" s="1305"/>
      <c r="CW720" s="1305"/>
      <c r="CX720" s="1305"/>
      <c r="CY720" s="1305"/>
      <c r="CZ720" s="1305">
        <f>IF(B720="2 Bedrooms",G720,0)</f>
        <v>0</v>
      </c>
      <c r="DA720" s="1305"/>
      <c r="DB720" s="1305"/>
      <c r="DC720" s="1305"/>
      <c r="DD720" s="1305"/>
      <c r="DE720" s="1305">
        <f>IF(B720="3 Bedrooms",G720,0)</f>
        <v>0</v>
      </c>
      <c r="DF720" s="1305"/>
      <c r="DG720" s="1305"/>
      <c r="DH720" s="1305"/>
      <c r="DI720" s="1305"/>
      <c r="DJ720" s="1305">
        <f>IF(B720="4 Bedrooms",G720,0)</f>
        <v>0</v>
      </c>
      <c r="DK720" s="1305"/>
      <c r="DL720" s="1305"/>
      <c r="DM720" s="1305"/>
      <c r="DN720" s="1305"/>
      <c r="DO720" s="1305">
        <f>IF(B720="5 Bedrooms",G720,0)</f>
        <v>0</v>
      </c>
      <c r="DP720" s="1305"/>
      <c r="DQ720" s="1305"/>
      <c r="DR720" s="1305"/>
      <c r="DS720" s="1305"/>
      <c r="DT720" s="1068"/>
      <c r="DU720" s="1319">
        <f>IF(AND(B720="SRO/Studio",AC720&lt;=0.3),G720,0)</f>
        <v>0</v>
      </c>
      <c r="DV720" s="1319"/>
      <c r="DW720" s="1319"/>
      <c r="DX720" s="1319"/>
      <c r="DY720" s="1319"/>
      <c r="DZ720" s="1319">
        <f>IF(AND(B720="1 Bedroom",AC720&lt;=0.3),G720,0)</f>
        <v>0</v>
      </c>
      <c r="EA720" s="1319"/>
      <c r="EB720" s="1319"/>
      <c r="EC720" s="1319"/>
      <c r="ED720" s="1319"/>
      <c r="EE720" s="1319">
        <f>IF(AND(B720="2 Bedrooms",AC720&lt;=0.3),G720,0)</f>
        <v>0</v>
      </c>
      <c r="EF720" s="1319"/>
      <c r="EG720" s="1319"/>
      <c r="EH720" s="1319"/>
      <c r="EI720" s="1319"/>
      <c r="EJ720" s="1319">
        <f>IF(AND(B720="3 Bedrooms",AC720&lt;=0.3),G720,0)</f>
        <v>0</v>
      </c>
      <c r="EK720" s="1319"/>
      <c r="EL720" s="1319"/>
      <c r="EM720" s="1319"/>
      <c r="EN720" s="1319"/>
      <c r="EO720" s="1319">
        <f>IF(AND(B720="4 Bedrooms",AC720&lt;=0.3),G720,0)</f>
        <v>0</v>
      </c>
      <c r="EP720" s="1319"/>
      <c r="EQ720" s="1319"/>
      <c r="ER720" s="1319"/>
      <c r="ES720" s="1319"/>
      <c r="ET720" s="1319">
        <f>IF(AND(B720="5 Bedrooms",AC720&lt;=0.3),G720,0)</f>
        <v>0</v>
      </c>
      <c r="EU720" s="1319"/>
      <c r="EV720" s="1319"/>
      <c r="EW720" s="1319"/>
      <c r="EX720" s="1319"/>
      <c r="EZ720" s="1292" t="str">
        <f t="shared" si="30"/>
        <v/>
      </c>
      <c r="FA720" s="1293"/>
      <c r="FB720" s="1293"/>
      <c r="FC720" s="1293"/>
      <c r="FD720" s="1294"/>
      <c r="FE720" s="1292">
        <f t="shared" si="31"/>
        <v>575</v>
      </c>
      <c r="FF720" s="1293"/>
      <c r="FG720" s="1293"/>
      <c r="FH720" s="1293"/>
      <c r="FI720" s="1294"/>
      <c r="FJ720" s="1292" t="str">
        <f t="shared" si="32"/>
        <v/>
      </c>
      <c r="FK720" s="1293"/>
      <c r="FL720" s="1293"/>
      <c r="FM720" s="1293"/>
      <c r="FN720" s="1294"/>
      <c r="FO720" s="1292" t="str">
        <f t="shared" si="33"/>
        <v/>
      </c>
      <c r="FP720" s="1293"/>
      <c r="FQ720" s="1293"/>
      <c r="FR720" s="1293"/>
      <c r="FS720" s="1294"/>
      <c r="FT720" s="1292" t="str">
        <f t="shared" si="34"/>
        <v/>
      </c>
      <c r="FU720" s="1293"/>
      <c r="FV720" s="1293"/>
      <c r="FW720" s="1293"/>
      <c r="FX720" s="1294"/>
      <c r="FY720" s="1292" t="str">
        <f t="shared" si="35"/>
        <v/>
      </c>
      <c r="FZ720" s="1293"/>
      <c r="GA720" s="1293"/>
      <c r="GB720" s="1293"/>
      <c r="GC720" s="1294"/>
    </row>
    <row r="721" spans="1:185" ht="13" customHeight="1">
      <c r="B721" s="1306" t="s">
        <v>834</v>
      </c>
      <c r="C721" s="1307"/>
      <c r="D721" s="1307"/>
      <c r="E721" s="1307"/>
      <c r="F721" s="1308"/>
      <c r="G721" s="1315">
        <v>1</v>
      </c>
      <c r="H721" s="1316"/>
      <c r="I721" s="1316"/>
      <c r="J721" s="1317"/>
      <c r="K721" s="1538">
        <f>+K719</f>
        <v>825.5</v>
      </c>
      <c r="L721" s="1539"/>
      <c r="M721" s="1539"/>
      <c r="N721" s="1540"/>
      <c r="O721" s="1404">
        <v>667</v>
      </c>
      <c r="P721" s="1405"/>
      <c r="Q721" s="1405"/>
      <c r="R721" s="1405"/>
      <c r="S721" s="1406"/>
      <c r="T721" s="1404">
        <v>125</v>
      </c>
      <c r="U721" s="1405"/>
      <c r="V721" s="1405"/>
      <c r="W721" s="1406"/>
      <c r="X721" s="1309">
        <f t="shared" si="8"/>
        <v>792</v>
      </c>
      <c r="Y721" s="1310"/>
      <c r="Z721" s="1310"/>
      <c r="AA721" s="1310"/>
      <c r="AB721" s="1311"/>
      <c r="AC721" s="1544">
        <v>0.4</v>
      </c>
      <c r="AD721" s="1545"/>
      <c r="AE721" s="1545"/>
      <c r="AF721" s="1545"/>
      <c r="AG721" s="1546"/>
      <c r="AH721" s="1312">
        <f t="shared" si="36"/>
        <v>0.4</v>
      </c>
      <c r="AI721" s="1313"/>
      <c r="AJ721" s="1314"/>
      <c r="AK721" s="1306" t="s">
        <v>800</v>
      </c>
      <c r="AL721" s="1307"/>
      <c r="AM721" s="1307"/>
      <c r="AN721" s="1307"/>
      <c r="AO721" s="1308"/>
      <c r="AP721" s="2"/>
      <c r="AQ721" s="2"/>
      <c r="AR721" s="2"/>
      <c r="AS721" s="2"/>
      <c r="AY721" s="69"/>
      <c r="AZ721" s="68">
        <f t="shared" si="9"/>
        <v>1980</v>
      </c>
      <c r="BA721" s="2"/>
      <c r="BB721" s="2"/>
      <c r="BC721" s="2"/>
      <c r="BD721" s="2"/>
      <c r="BE721" s="113"/>
      <c r="BF721" s="178">
        <f t="shared" si="10"/>
        <v>1</v>
      </c>
      <c r="BG721" s="181">
        <f t="shared" si="11"/>
        <v>1.2658227848101266E-2</v>
      </c>
      <c r="BH721" s="182">
        <f t="shared" si="12"/>
        <v>5.0632911392405064E-3</v>
      </c>
      <c r="BI721" s="2"/>
      <c r="BJ721" s="2"/>
      <c r="BK721" s="2"/>
      <c r="BL721" s="2"/>
      <c r="BM721" s="2"/>
      <c r="BN721" s="2"/>
      <c r="BS721" s="178">
        <f t="shared" si="13"/>
        <v>1</v>
      </c>
      <c r="BT721" s="181">
        <f t="shared" si="14"/>
        <v>1.2658227848101266E-2</v>
      </c>
      <c r="BU721" s="182">
        <f t="shared" si="15"/>
        <v>5.0632911392405064E-3</v>
      </c>
      <c r="CC721" s="2"/>
      <c r="CD721" s="2"/>
      <c r="CE721" s="2"/>
      <c r="CF721" s="2"/>
      <c r="CG721" s="1292">
        <f t="shared" si="37"/>
        <v>1</v>
      </c>
      <c r="CH721" s="1294"/>
      <c r="CI721" s="1292">
        <f t="shared" ref="CI721:CI752" si="38">IF(CG721=1,G721,0)</f>
        <v>1</v>
      </c>
      <c r="CJ721" s="1294"/>
      <c r="CK721" s="1292">
        <f t="shared" si="16"/>
        <v>0</v>
      </c>
      <c r="CL721" s="1294"/>
      <c r="CM721" s="1292">
        <f t="shared" si="17"/>
        <v>0</v>
      </c>
      <c r="CN721" s="1294"/>
      <c r="CO721" s="2"/>
      <c r="CP721" s="1289">
        <f t="shared" si="18"/>
        <v>0</v>
      </c>
      <c r="CQ721" s="1290"/>
      <c r="CR721" s="1290"/>
      <c r="CS721" s="1290"/>
      <c r="CT721" s="1291"/>
      <c r="CU721" s="1305">
        <f t="shared" si="19"/>
        <v>0</v>
      </c>
      <c r="CV721" s="1305"/>
      <c r="CW721" s="1305"/>
      <c r="CX721" s="1305"/>
      <c r="CY721" s="1305"/>
      <c r="CZ721" s="1305">
        <f t="shared" si="20"/>
        <v>1</v>
      </c>
      <c r="DA721" s="1305"/>
      <c r="DB721" s="1305"/>
      <c r="DC721" s="1305"/>
      <c r="DD721" s="1305"/>
      <c r="DE721" s="1305">
        <f t="shared" si="21"/>
        <v>0</v>
      </c>
      <c r="DF721" s="1305"/>
      <c r="DG721" s="1305"/>
      <c r="DH721" s="1305"/>
      <c r="DI721" s="1305"/>
      <c r="DJ721" s="1305">
        <f t="shared" si="22"/>
        <v>0</v>
      </c>
      <c r="DK721" s="1305"/>
      <c r="DL721" s="1305"/>
      <c r="DM721" s="1305"/>
      <c r="DN721" s="1305"/>
      <c r="DO721" s="1305">
        <f t="shared" si="23"/>
        <v>0</v>
      </c>
      <c r="DP721" s="1305"/>
      <c r="DQ721" s="1305"/>
      <c r="DR721" s="1305"/>
      <c r="DS721" s="1305"/>
      <c r="DT721" s="1068"/>
      <c r="DU721" s="1319">
        <f t="shared" si="24"/>
        <v>0</v>
      </c>
      <c r="DV721" s="1319"/>
      <c r="DW721" s="1319"/>
      <c r="DX721" s="1319"/>
      <c r="DY721" s="1319"/>
      <c r="DZ721" s="1319">
        <f t="shared" si="25"/>
        <v>0</v>
      </c>
      <c r="EA721" s="1319"/>
      <c r="EB721" s="1319"/>
      <c r="EC721" s="1319"/>
      <c r="ED721" s="1319"/>
      <c r="EE721" s="1319">
        <f t="shared" si="26"/>
        <v>0</v>
      </c>
      <c r="EF721" s="1319"/>
      <c r="EG721" s="1319"/>
      <c r="EH721" s="1319"/>
      <c r="EI721" s="1319"/>
      <c r="EJ721" s="1319">
        <f t="shared" si="27"/>
        <v>0</v>
      </c>
      <c r="EK721" s="1319"/>
      <c r="EL721" s="1319"/>
      <c r="EM721" s="1319"/>
      <c r="EN721" s="1319"/>
      <c r="EO721" s="1319">
        <f t="shared" si="28"/>
        <v>0</v>
      </c>
      <c r="EP721" s="1319"/>
      <c r="EQ721" s="1319"/>
      <c r="ER721" s="1319"/>
      <c r="ES721" s="1319"/>
      <c r="ET721" s="1319">
        <f t="shared" si="29"/>
        <v>0</v>
      </c>
      <c r="EU721" s="1319"/>
      <c r="EV721" s="1319"/>
      <c r="EW721" s="1319"/>
      <c r="EX721" s="1319"/>
      <c r="EZ721" s="1292" t="str">
        <f t="shared" si="30"/>
        <v/>
      </c>
      <c r="FA721" s="1293"/>
      <c r="FB721" s="1293"/>
      <c r="FC721" s="1293"/>
      <c r="FD721" s="1294"/>
      <c r="FE721" s="1292" t="str">
        <f t="shared" si="31"/>
        <v/>
      </c>
      <c r="FF721" s="1293"/>
      <c r="FG721" s="1293"/>
      <c r="FH721" s="1293"/>
      <c r="FI721" s="1294"/>
      <c r="FJ721" s="1292">
        <f t="shared" si="32"/>
        <v>667</v>
      </c>
      <c r="FK721" s="1293"/>
      <c r="FL721" s="1293"/>
      <c r="FM721" s="1293"/>
      <c r="FN721" s="1294"/>
      <c r="FO721" s="1292" t="str">
        <f t="shared" si="33"/>
        <v/>
      </c>
      <c r="FP721" s="1293"/>
      <c r="FQ721" s="1293"/>
      <c r="FR721" s="1293"/>
      <c r="FS721" s="1294"/>
      <c r="FT721" s="1292" t="str">
        <f t="shared" si="34"/>
        <v/>
      </c>
      <c r="FU721" s="1293"/>
      <c r="FV721" s="1293"/>
      <c r="FW721" s="1293"/>
      <c r="FX721" s="1294"/>
      <c r="FY721" s="1292" t="str">
        <f t="shared" si="35"/>
        <v/>
      </c>
      <c r="FZ721" s="1293"/>
      <c r="GA721" s="1293"/>
      <c r="GB721" s="1293"/>
      <c r="GC721" s="1294"/>
    </row>
    <row r="722" spans="1:185" ht="13" customHeight="1">
      <c r="B722" s="1306" t="s">
        <v>833</v>
      </c>
      <c r="C722" s="1307"/>
      <c r="D722" s="1307"/>
      <c r="E722" s="1307"/>
      <c r="F722" s="1308"/>
      <c r="G722" s="1315">
        <v>28</v>
      </c>
      <c r="H722" s="1316"/>
      <c r="I722" s="1316"/>
      <c r="J722" s="1317"/>
      <c r="K722" s="1538">
        <f>+K718</f>
        <v>594</v>
      </c>
      <c r="L722" s="1539"/>
      <c r="M722" s="1539"/>
      <c r="N722" s="1540"/>
      <c r="O722" s="1404">
        <v>740</v>
      </c>
      <c r="P722" s="1405"/>
      <c r="Q722" s="1405"/>
      <c r="R722" s="1405"/>
      <c r="S722" s="1406"/>
      <c r="T722" s="1404">
        <v>85</v>
      </c>
      <c r="U722" s="1405"/>
      <c r="V722" s="1405"/>
      <c r="W722" s="1406"/>
      <c r="X722" s="1309">
        <f t="shared" si="8"/>
        <v>825</v>
      </c>
      <c r="Y722" s="1310"/>
      <c r="Z722" s="1310"/>
      <c r="AA722" s="1310"/>
      <c r="AB722" s="1311"/>
      <c r="AC722" s="1544">
        <v>0.5</v>
      </c>
      <c r="AD722" s="1545"/>
      <c r="AE722" s="1545"/>
      <c r="AF722" s="1545"/>
      <c r="AG722" s="1546"/>
      <c r="AH722" s="1312">
        <f t="shared" si="36"/>
        <v>0.5</v>
      </c>
      <c r="AI722" s="1313"/>
      <c r="AJ722" s="1314"/>
      <c r="AK722" s="1306" t="s">
        <v>800</v>
      </c>
      <c r="AL722" s="1307"/>
      <c r="AM722" s="1307"/>
      <c r="AN722" s="1307"/>
      <c r="AO722" s="1308"/>
      <c r="AP722" s="2"/>
      <c r="AQ722" s="2"/>
      <c r="AR722" s="2"/>
      <c r="AS722" s="2"/>
      <c r="AY722" s="69"/>
      <c r="AZ722" s="68">
        <f t="shared" si="9"/>
        <v>1650</v>
      </c>
      <c r="BA722" s="2"/>
      <c r="BB722" s="2"/>
      <c r="BC722" s="2"/>
      <c r="BD722" s="2"/>
      <c r="BE722" s="113"/>
      <c r="BF722" s="178">
        <f t="shared" si="10"/>
        <v>28</v>
      </c>
      <c r="BG722" s="181">
        <f t="shared" si="11"/>
        <v>0.35443037974683544</v>
      </c>
      <c r="BH722" s="182">
        <f t="shared" si="12"/>
        <v>0.17721518987341772</v>
      </c>
      <c r="BI722" s="2"/>
      <c r="BJ722" s="2"/>
      <c r="BK722" s="2"/>
      <c r="BL722" s="2"/>
      <c r="BM722" s="2"/>
      <c r="BN722" s="2"/>
      <c r="BS722" s="178">
        <f t="shared" si="13"/>
        <v>28</v>
      </c>
      <c r="BT722" s="181">
        <f t="shared" si="14"/>
        <v>0.35443037974683544</v>
      </c>
      <c r="BU722" s="182">
        <f t="shared" si="15"/>
        <v>0.17721518987341772</v>
      </c>
      <c r="CC722" s="2"/>
      <c r="CD722" s="2"/>
      <c r="CE722" s="2"/>
      <c r="CF722" s="2"/>
      <c r="CG722" s="1292">
        <f t="shared" si="37"/>
        <v>1</v>
      </c>
      <c r="CH722" s="1294"/>
      <c r="CI722" s="1292">
        <f t="shared" si="38"/>
        <v>28</v>
      </c>
      <c r="CJ722" s="1294"/>
      <c r="CK722" s="1292">
        <f t="shared" si="16"/>
        <v>0</v>
      </c>
      <c r="CL722" s="1294"/>
      <c r="CM722" s="1292">
        <f t="shared" si="17"/>
        <v>0</v>
      </c>
      <c r="CN722" s="1294"/>
      <c r="CO722" s="2"/>
      <c r="CP722" s="1289">
        <f t="shared" si="18"/>
        <v>0</v>
      </c>
      <c r="CQ722" s="1290"/>
      <c r="CR722" s="1290"/>
      <c r="CS722" s="1290"/>
      <c r="CT722" s="1291"/>
      <c r="CU722" s="1305">
        <f t="shared" si="19"/>
        <v>28</v>
      </c>
      <c r="CV722" s="1305"/>
      <c r="CW722" s="1305"/>
      <c r="CX722" s="1305"/>
      <c r="CY722" s="1305"/>
      <c r="CZ722" s="1305">
        <f t="shared" si="20"/>
        <v>0</v>
      </c>
      <c r="DA722" s="1305"/>
      <c r="DB722" s="1305"/>
      <c r="DC722" s="1305"/>
      <c r="DD722" s="1305"/>
      <c r="DE722" s="1305">
        <f t="shared" si="21"/>
        <v>0</v>
      </c>
      <c r="DF722" s="1305"/>
      <c r="DG722" s="1305"/>
      <c r="DH722" s="1305"/>
      <c r="DI722" s="1305"/>
      <c r="DJ722" s="1305">
        <f t="shared" si="22"/>
        <v>0</v>
      </c>
      <c r="DK722" s="1305"/>
      <c r="DL722" s="1305"/>
      <c r="DM722" s="1305"/>
      <c r="DN722" s="1305"/>
      <c r="DO722" s="1305">
        <f t="shared" si="23"/>
        <v>0</v>
      </c>
      <c r="DP722" s="1305"/>
      <c r="DQ722" s="1305"/>
      <c r="DR722" s="1305"/>
      <c r="DS722" s="1305"/>
      <c r="DT722" s="1068"/>
      <c r="DU722" s="1319">
        <f t="shared" si="24"/>
        <v>0</v>
      </c>
      <c r="DV722" s="1319"/>
      <c r="DW722" s="1319"/>
      <c r="DX722" s="1319"/>
      <c r="DY722" s="1319"/>
      <c r="DZ722" s="1319">
        <f t="shared" si="25"/>
        <v>0</v>
      </c>
      <c r="EA722" s="1319"/>
      <c r="EB722" s="1319"/>
      <c r="EC722" s="1319"/>
      <c r="ED722" s="1319"/>
      <c r="EE722" s="1319">
        <f t="shared" si="26"/>
        <v>0</v>
      </c>
      <c r="EF722" s="1319"/>
      <c r="EG722" s="1319"/>
      <c r="EH722" s="1319"/>
      <c r="EI722" s="1319"/>
      <c r="EJ722" s="1319">
        <f t="shared" si="27"/>
        <v>0</v>
      </c>
      <c r="EK722" s="1319"/>
      <c r="EL722" s="1319"/>
      <c r="EM722" s="1319"/>
      <c r="EN722" s="1319"/>
      <c r="EO722" s="1319">
        <f t="shared" si="28"/>
        <v>0</v>
      </c>
      <c r="EP722" s="1319"/>
      <c r="EQ722" s="1319"/>
      <c r="ER722" s="1319"/>
      <c r="ES722" s="1319"/>
      <c r="ET722" s="1319">
        <f t="shared" si="29"/>
        <v>0</v>
      </c>
      <c r="EU722" s="1319"/>
      <c r="EV722" s="1319"/>
      <c r="EW722" s="1319"/>
      <c r="EX722" s="1319"/>
      <c r="EZ722" s="1292" t="str">
        <f t="shared" si="30"/>
        <v/>
      </c>
      <c r="FA722" s="1293"/>
      <c r="FB722" s="1293"/>
      <c r="FC722" s="1293"/>
      <c r="FD722" s="1294"/>
      <c r="FE722" s="1292">
        <f t="shared" si="31"/>
        <v>740</v>
      </c>
      <c r="FF722" s="1293"/>
      <c r="FG722" s="1293"/>
      <c r="FH722" s="1293"/>
      <c r="FI722" s="1294"/>
      <c r="FJ722" s="1292" t="str">
        <f t="shared" si="32"/>
        <v/>
      </c>
      <c r="FK722" s="1293"/>
      <c r="FL722" s="1293"/>
      <c r="FM722" s="1293"/>
      <c r="FN722" s="1294"/>
      <c r="FO722" s="1292" t="str">
        <f t="shared" si="33"/>
        <v/>
      </c>
      <c r="FP722" s="1293"/>
      <c r="FQ722" s="1293"/>
      <c r="FR722" s="1293"/>
      <c r="FS722" s="1294"/>
      <c r="FT722" s="1292" t="str">
        <f t="shared" si="34"/>
        <v/>
      </c>
      <c r="FU722" s="1293"/>
      <c r="FV722" s="1293"/>
      <c r="FW722" s="1293"/>
      <c r="FX722" s="1294"/>
      <c r="FY722" s="1292" t="str">
        <f t="shared" si="35"/>
        <v/>
      </c>
      <c r="FZ722" s="1293"/>
      <c r="GA722" s="1293"/>
      <c r="GB722" s="1293"/>
      <c r="GC722" s="1294"/>
    </row>
    <row r="723" spans="1:185" ht="13" customHeight="1">
      <c r="B723" s="1306" t="s">
        <v>834</v>
      </c>
      <c r="C723" s="1307"/>
      <c r="D723" s="1307"/>
      <c r="E723" s="1307"/>
      <c r="F723" s="1308"/>
      <c r="G723" s="1315">
        <v>4</v>
      </c>
      <c r="H723" s="1316"/>
      <c r="I723" s="1316"/>
      <c r="J723" s="1317"/>
      <c r="K723" s="1538">
        <f>+K719</f>
        <v>825.5</v>
      </c>
      <c r="L723" s="1539"/>
      <c r="M723" s="1539"/>
      <c r="N723" s="1540"/>
      <c r="O723" s="1404">
        <v>865</v>
      </c>
      <c r="P723" s="1405"/>
      <c r="Q723" s="1405"/>
      <c r="R723" s="1405"/>
      <c r="S723" s="1406"/>
      <c r="T723" s="1404">
        <v>125</v>
      </c>
      <c r="U723" s="1405"/>
      <c r="V723" s="1405"/>
      <c r="W723" s="1406"/>
      <c r="X723" s="1309">
        <f t="shared" si="8"/>
        <v>990</v>
      </c>
      <c r="Y723" s="1310"/>
      <c r="Z723" s="1310"/>
      <c r="AA723" s="1310"/>
      <c r="AB723" s="1311"/>
      <c r="AC723" s="1544">
        <v>0.5</v>
      </c>
      <c r="AD723" s="1545"/>
      <c r="AE723" s="1545"/>
      <c r="AF723" s="1545"/>
      <c r="AG723" s="1546"/>
      <c r="AH723" s="1312">
        <f t="shared" si="36"/>
        <v>0.5</v>
      </c>
      <c r="AI723" s="1313"/>
      <c r="AJ723" s="1314"/>
      <c r="AK723" s="1306" t="s">
        <v>800</v>
      </c>
      <c r="AL723" s="1307"/>
      <c r="AM723" s="1307"/>
      <c r="AN723" s="1307"/>
      <c r="AO723" s="1308"/>
      <c r="AP723" s="2"/>
      <c r="AQ723" s="2"/>
      <c r="AR723" s="2"/>
      <c r="AS723" s="2"/>
      <c r="AY723" s="69"/>
      <c r="AZ723" s="68">
        <f t="shared" si="9"/>
        <v>1980</v>
      </c>
      <c r="BA723" s="2"/>
      <c r="BB723" s="2"/>
      <c r="BC723" s="2"/>
      <c r="BD723" s="2"/>
      <c r="BE723" s="113"/>
      <c r="BF723" s="178">
        <f t="shared" si="10"/>
        <v>4</v>
      </c>
      <c r="BG723" s="181">
        <f t="shared" si="11"/>
        <v>5.0632911392405063E-2</v>
      </c>
      <c r="BH723" s="182">
        <f t="shared" si="12"/>
        <v>2.5316455696202531E-2</v>
      </c>
      <c r="BI723" s="2"/>
      <c r="BJ723" s="2"/>
      <c r="BK723" s="2"/>
      <c r="BL723" s="2"/>
      <c r="BM723" s="2"/>
      <c r="BN723" s="2"/>
      <c r="BS723" s="178">
        <f t="shared" si="13"/>
        <v>4</v>
      </c>
      <c r="BT723" s="181">
        <f t="shared" si="14"/>
        <v>5.0632911392405063E-2</v>
      </c>
      <c r="BU723" s="182">
        <f t="shared" si="15"/>
        <v>2.5316455696202531E-2</v>
      </c>
      <c r="CC723" s="2"/>
      <c r="CD723" s="2"/>
      <c r="CE723" s="2"/>
      <c r="CF723" s="2"/>
      <c r="CG723" s="1292">
        <f t="shared" si="37"/>
        <v>1</v>
      </c>
      <c r="CH723" s="1294"/>
      <c r="CI723" s="1292">
        <f t="shared" si="38"/>
        <v>4</v>
      </c>
      <c r="CJ723" s="1294"/>
      <c r="CK723" s="1292">
        <f t="shared" si="16"/>
        <v>0</v>
      </c>
      <c r="CL723" s="1294"/>
      <c r="CM723" s="1292">
        <f t="shared" si="17"/>
        <v>0</v>
      </c>
      <c r="CN723" s="1294"/>
      <c r="CO723" s="2"/>
      <c r="CP723" s="1289">
        <f t="shared" si="18"/>
        <v>0</v>
      </c>
      <c r="CQ723" s="1290"/>
      <c r="CR723" s="1290"/>
      <c r="CS723" s="1290"/>
      <c r="CT723" s="1291"/>
      <c r="CU723" s="1305">
        <f t="shared" si="19"/>
        <v>0</v>
      </c>
      <c r="CV723" s="1305"/>
      <c r="CW723" s="1305"/>
      <c r="CX723" s="1305"/>
      <c r="CY723" s="1305"/>
      <c r="CZ723" s="1305">
        <f t="shared" si="20"/>
        <v>4</v>
      </c>
      <c r="DA723" s="1305"/>
      <c r="DB723" s="1305"/>
      <c r="DC723" s="1305"/>
      <c r="DD723" s="1305"/>
      <c r="DE723" s="1305">
        <f t="shared" si="21"/>
        <v>0</v>
      </c>
      <c r="DF723" s="1305"/>
      <c r="DG723" s="1305"/>
      <c r="DH723" s="1305"/>
      <c r="DI723" s="1305"/>
      <c r="DJ723" s="1305">
        <f t="shared" si="22"/>
        <v>0</v>
      </c>
      <c r="DK723" s="1305"/>
      <c r="DL723" s="1305"/>
      <c r="DM723" s="1305"/>
      <c r="DN723" s="1305"/>
      <c r="DO723" s="1305">
        <f t="shared" si="23"/>
        <v>0</v>
      </c>
      <c r="DP723" s="1305"/>
      <c r="DQ723" s="1305"/>
      <c r="DR723" s="1305"/>
      <c r="DS723" s="1305"/>
      <c r="DT723" s="1068"/>
      <c r="DU723" s="1319">
        <f t="shared" si="24"/>
        <v>0</v>
      </c>
      <c r="DV723" s="1319"/>
      <c r="DW723" s="1319"/>
      <c r="DX723" s="1319"/>
      <c r="DY723" s="1319"/>
      <c r="DZ723" s="1319">
        <f t="shared" si="25"/>
        <v>0</v>
      </c>
      <c r="EA723" s="1319"/>
      <c r="EB723" s="1319"/>
      <c r="EC723" s="1319"/>
      <c r="ED723" s="1319"/>
      <c r="EE723" s="1319">
        <f t="shared" si="26"/>
        <v>0</v>
      </c>
      <c r="EF723" s="1319"/>
      <c r="EG723" s="1319"/>
      <c r="EH723" s="1319"/>
      <c r="EI723" s="1319"/>
      <c r="EJ723" s="1319">
        <f t="shared" si="27"/>
        <v>0</v>
      </c>
      <c r="EK723" s="1319"/>
      <c r="EL723" s="1319"/>
      <c r="EM723" s="1319"/>
      <c r="EN723" s="1319"/>
      <c r="EO723" s="1319">
        <f t="shared" si="28"/>
        <v>0</v>
      </c>
      <c r="EP723" s="1319"/>
      <c r="EQ723" s="1319"/>
      <c r="ER723" s="1319"/>
      <c r="ES723" s="1319"/>
      <c r="ET723" s="1319">
        <f t="shared" si="29"/>
        <v>0</v>
      </c>
      <c r="EU723" s="1319"/>
      <c r="EV723" s="1319"/>
      <c r="EW723" s="1319"/>
      <c r="EX723" s="1319"/>
      <c r="EZ723" s="1292" t="str">
        <f t="shared" si="30"/>
        <v/>
      </c>
      <c r="FA723" s="1293"/>
      <c r="FB723" s="1293"/>
      <c r="FC723" s="1293"/>
      <c r="FD723" s="1294"/>
      <c r="FE723" s="1292" t="str">
        <f t="shared" si="31"/>
        <v/>
      </c>
      <c r="FF723" s="1293"/>
      <c r="FG723" s="1293"/>
      <c r="FH723" s="1293"/>
      <c r="FI723" s="1294"/>
      <c r="FJ723" s="1292">
        <f t="shared" si="32"/>
        <v>865</v>
      </c>
      <c r="FK723" s="1293"/>
      <c r="FL723" s="1293"/>
      <c r="FM723" s="1293"/>
      <c r="FN723" s="1294"/>
      <c r="FO723" s="1292" t="str">
        <f t="shared" si="33"/>
        <v/>
      </c>
      <c r="FP723" s="1293"/>
      <c r="FQ723" s="1293"/>
      <c r="FR723" s="1293"/>
      <c r="FS723" s="1294"/>
      <c r="FT723" s="1292" t="str">
        <f t="shared" si="34"/>
        <v/>
      </c>
      <c r="FU723" s="1293"/>
      <c r="FV723" s="1293"/>
      <c r="FW723" s="1293"/>
      <c r="FX723" s="1294"/>
      <c r="FY723" s="1292" t="str">
        <f t="shared" si="35"/>
        <v/>
      </c>
      <c r="FZ723" s="1293"/>
      <c r="GA723" s="1293"/>
      <c r="GB723" s="1293"/>
      <c r="GC723" s="1294"/>
    </row>
    <row r="724" spans="1:185" ht="13" customHeight="1">
      <c r="B724" s="1306" t="s">
        <v>833</v>
      </c>
      <c r="C724" s="1307"/>
      <c r="D724" s="1307"/>
      <c r="E724" s="1307"/>
      <c r="F724" s="1308"/>
      <c r="G724" s="1315">
        <v>8</v>
      </c>
      <c r="H724" s="1316"/>
      <c r="I724" s="1316"/>
      <c r="J724" s="1317"/>
      <c r="K724" s="1538">
        <f>+K718</f>
        <v>594</v>
      </c>
      <c r="L724" s="1539"/>
      <c r="M724" s="1539"/>
      <c r="N724" s="1540"/>
      <c r="O724" s="1404">
        <v>1175</v>
      </c>
      <c r="P724" s="1405"/>
      <c r="Q724" s="1405"/>
      <c r="R724" s="1405"/>
      <c r="S724" s="1406"/>
      <c r="T724" s="1404">
        <v>85</v>
      </c>
      <c r="U724" s="1405"/>
      <c r="V724" s="1405"/>
      <c r="W724" s="1406"/>
      <c r="X724" s="1309">
        <f t="shared" si="8"/>
        <v>1260</v>
      </c>
      <c r="Y724" s="1310"/>
      <c r="Z724" s="1310"/>
      <c r="AA724" s="1310"/>
      <c r="AB724" s="1311"/>
      <c r="AC724" s="1544">
        <v>0.8</v>
      </c>
      <c r="AD724" s="1545"/>
      <c r="AE724" s="1545"/>
      <c r="AF724" s="1545"/>
      <c r="AG724" s="1546"/>
      <c r="AH724" s="1312">
        <f t="shared" si="36"/>
        <v>0.76363636363636367</v>
      </c>
      <c r="AI724" s="1313"/>
      <c r="AJ724" s="1314"/>
      <c r="AK724" s="1306" t="s">
        <v>800</v>
      </c>
      <c r="AL724" s="1307"/>
      <c r="AM724" s="1307"/>
      <c r="AN724" s="1307"/>
      <c r="AO724" s="1308"/>
      <c r="AP724" s="2"/>
      <c r="AQ724" s="2"/>
      <c r="AR724" s="2"/>
      <c r="AS724" s="2"/>
      <c r="AY724" s="69"/>
      <c r="AZ724" s="68">
        <f t="shared" si="9"/>
        <v>1650</v>
      </c>
      <c r="BA724" s="2"/>
      <c r="BB724" s="2"/>
      <c r="BC724" s="2"/>
      <c r="BD724" s="2"/>
      <c r="BE724" s="113"/>
      <c r="BF724" s="178">
        <f t="shared" si="10"/>
        <v>8</v>
      </c>
      <c r="BG724" s="181">
        <f t="shared" si="11"/>
        <v>0.10126582278481013</v>
      </c>
      <c r="BH724" s="182">
        <f t="shared" si="12"/>
        <v>8.1012658227848103E-2</v>
      </c>
      <c r="BI724" s="2"/>
      <c r="BJ724" s="2"/>
      <c r="BK724" s="2"/>
      <c r="BL724" s="2"/>
      <c r="BM724" s="2"/>
      <c r="BN724" s="2"/>
      <c r="BS724" s="178">
        <f t="shared" si="13"/>
        <v>8</v>
      </c>
      <c r="BT724" s="181">
        <f t="shared" si="14"/>
        <v>0.10126582278481013</v>
      </c>
      <c r="BU724" s="182">
        <f t="shared" si="15"/>
        <v>7.7330264672036825E-2</v>
      </c>
      <c r="CC724" s="2"/>
      <c r="CE724" s="2"/>
      <c r="CF724" s="2"/>
      <c r="CG724" s="1292">
        <f t="shared" si="37"/>
        <v>0</v>
      </c>
      <c r="CH724" s="1294"/>
      <c r="CI724" s="1292">
        <f t="shared" si="38"/>
        <v>0</v>
      </c>
      <c r="CJ724" s="1294"/>
      <c r="CK724" s="1292">
        <f t="shared" si="16"/>
        <v>0</v>
      </c>
      <c r="CL724" s="1294"/>
      <c r="CM724" s="1292">
        <f t="shared" si="17"/>
        <v>0</v>
      </c>
      <c r="CN724" s="1294"/>
      <c r="CO724" s="2"/>
      <c r="CP724" s="1289">
        <f t="shared" si="18"/>
        <v>0</v>
      </c>
      <c r="CQ724" s="1290"/>
      <c r="CR724" s="1290"/>
      <c r="CS724" s="1290"/>
      <c r="CT724" s="1291"/>
      <c r="CU724" s="1305">
        <f t="shared" si="19"/>
        <v>8</v>
      </c>
      <c r="CV724" s="1305"/>
      <c r="CW724" s="1305"/>
      <c r="CX724" s="1305"/>
      <c r="CY724" s="1305"/>
      <c r="CZ724" s="1305">
        <f t="shared" si="20"/>
        <v>0</v>
      </c>
      <c r="DA724" s="1305"/>
      <c r="DB724" s="1305"/>
      <c r="DC724" s="1305"/>
      <c r="DD724" s="1305"/>
      <c r="DE724" s="1305">
        <f t="shared" si="21"/>
        <v>0</v>
      </c>
      <c r="DF724" s="1305"/>
      <c r="DG724" s="1305"/>
      <c r="DH724" s="1305"/>
      <c r="DI724" s="1305"/>
      <c r="DJ724" s="1305">
        <f t="shared" si="22"/>
        <v>0</v>
      </c>
      <c r="DK724" s="1305"/>
      <c r="DL724" s="1305"/>
      <c r="DM724" s="1305"/>
      <c r="DN724" s="1305"/>
      <c r="DO724" s="1305">
        <f t="shared" si="23"/>
        <v>0</v>
      </c>
      <c r="DP724" s="1305"/>
      <c r="DQ724" s="1305"/>
      <c r="DR724" s="1305"/>
      <c r="DS724" s="1305"/>
      <c r="DT724" s="1068"/>
      <c r="DU724" s="1319">
        <f t="shared" si="24"/>
        <v>0</v>
      </c>
      <c r="DV724" s="1319"/>
      <c r="DW724" s="1319"/>
      <c r="DX724" s="1319"/>
      <c r="DY724" s="1319"/>
      <c r="DZ724" s="1319">
        <f t="shared" si="25"/>
        <v>0</v>
      </c>
      <c r="EA724" s="1319"/>
      <c r="EB724" s="1319"/>
      <c r="EC724" s="1319"/>
      <c r="ED724" s="1319"/>
      <c r="EE724" s="1319">
        <f t="shared" si="26"/>
        <v>0</v>
      </c>
      <c r="EF724" s="1319"/>
      <c r="EG724" s="1319"/>
      <c r="EH724" s="1319"/>
      <c r="EI724" s="1319"/>
      <c r="EJ724" s="1319">
        <f t="shared" si="27"/>
        <v>0</v>
      </c>
      <c r="EK724" s="1319"/>
      <c r="EL724" s="1319"/>
      <c r="EM724" s="1319"/>
      <c r="EN724" s="1319"/>
      <c r="EO724" s="1319">
        <f t="shared" si="28"/>
        <v>0</v>
      </c>
      <c r="EP724" s="1319"/>
      <c r="EQ724" s="1319"/>
      <c r="ER724" s="1319"/>
      <c r="ES724" s="1319"/>
      <c r="ET724" s="1319">
        <f t="shared" si="29"/>
        <v>0</v>
      </c>
      <c r="EU724" s="1319"/>
      <c r="EV724" s="1319"/>
      <c r="EW724" s="1319"/>
      <c r="EX724" s="1319"/>
      <c r="EZ724" s="1292" t="str">
        <f t="shared" si="30"/>
        <v/>
      </c>
      <c r="FA724" s="1293"/>
      <c r="FB724" s="1293"/>
      <c r="FC724" s="1293"/>
      <c r="FD724" s="1294"/>
      <c r="FE724" s="1292">
        <f t="shared" si="31"/>
        <v>1175</v>
      </c>
      <c r="FF724" s="1293"/>
      <c r="FG724" s="1293"/>
      <c r="FH724" s="1293"/>
      <c r="FI724" s="1294"/>
      <c r="FJ724" s="1292" t="str">
        <f t="shared" si="32"/>
        <v/>
      </c>
      <c r="FK724" s="1293"/>
      <c r="FL724" s="1293"/>
      <c r="FM724" s="1293"/>
      <c r="FN724" s="1294"/>
      <c r="FO724" s="1292" t="str">
        <f t="shared" si="33"/>
        <v/>
      </c>
      <c r="FP724" s="1293"/>
      <c r="FQ724" s="1293"/>
      <c r="FR724" s="1293"/>
      <c r="FS724" s="1294"/>
      <c r="FT724" s="1292" t="str">
        <f t="shared" si="34"/>
        <v/>
      </c>
      <c r="FU724" s="1293"/>
      <c r="FV724" s="1293"/>
      <c r="FW724" s="1293"/>
      <c r="FX724" s="1294"/>
      <c r="FY724" s="1292" t="str">
        <f t="shared" si="35"/>
        <v/>
      </c>
      <c r="FZ724" s="1293"/>
      <c r="GA724" s="1293"/>
      <c r="GB724" s="1293"/>
      <c r="GC724" s="1294"/>
    </row>
    <row r="725" spans="1:185" ht="13" customHeight="1">
      <c r="B725" s="1306" t="s">
        <v>834</v>
      </c>
      <c r="C725" s="1307"/>
      <c r="D725" s="1307"/>
      <c r="E725" s="1307"/>
      <c r="F725" s="1308"/>
      <c r="G725" s="1315">
        <v>7</v>
      </c>
      <c r="H725" s="1316"/>
      <c r="I725" s="1316"/>
      <c r="J725" s="1317"/>
      <c r="K725" s="1538">
        <f>+K719</f>
        <v>825.5</v>
      </c>
      <c r="L725" s="1539"/>
      <c r="M725" s="1539"/>
      <c r="N725" s="1540"/>
      <c r="O725" s="1404">
        <v>1260</v>
      </c>
      <c r="P725" s="1405"/>
      <c r="Q725" s="1405"/>
      <c r="R725" s="1405"/>
      <c r="S725" s="1406"/>
      <c r="T725" s="1404">
        <v>125</v>
      </c>
      <c r="U725" s="1405"/>
      <c r="V725" s="1405"/>
      <c r="W725" s="1406"/>
      <c r="X725" s="1309">
        <f t="shared" si="8"/>
        <v>1385</v>
      </c>
      <c r="Y725" s="1310"/>
      <c r="Z725" s="1310"/>
      <c r="AA725" s="1310"/>
      <c r="AB725" s="1311"/>
      <c r="AC725" s="1544">
        <v>0.8</v>
      </c>
      <c r="AD725" s="1545"/>
      <c r="AE725" s="1545"/>
      <c r="AF725" s="1545"/>
      <c r="AG725" s="1546"/>
      <c r="AH725" s="1312">
        <f t="shared" si="36"/>
        <v>0.6994949494949495</v>
      </c>
      <c r="AI725" s="1313"/>
      <c r="AJ725" s="1314"/>
      <c r="AK725" s="1306" t="s">
        <v>800</v>
      </c>
      <c r="AL725" s="1307"/>
      <c r="AM725" s="1307"/>
      <c r="AN725" s="1307"/>
      <c r="AO725" s="1308"/>
      <c r="AP725" s="2"/>
      <c r="AQ725" s="2"/>
      <c r="AR725" s="2"/>
      <c r="AS725" s="2"/>
      <c r="AY725" s="762"/>
      <c r="AZ725" s="68">
        <f t="shared" si="9"/>
        <v>1980</v>
      </c>
      <c r="BA725" s="2"/>
      <c r="BB725" s="2"/>
      <c r="BC725" s="2"/>
      <c r="BD725" s="2"/>
      <c r="BE725" s="113"/>
      <c r="BF725" s="178">
        <f t="shared" si="10"/>
        <v>7</v>
      </c>
      <c r="BG725" s="181">
        <f t="shared" si="11"/>
        <v>8.8607594936708861E-2</v>
      </c>
      <c r="BH725" s="182">
        <f t="shared" si="12"/>
        <v>7.0886075949367092E-2</v>
      </c>
      <c r="BI725" s="2"/>
      <c r="BJ725" s="2"/>
      <c r="BK725" s="2"/>
      <c r="BL725" s="2"/>
      <c r="BM725" s="2"/>
      <c r="BN725" s="2"/>
      <c r="BS725" s="178">
        <f t="shared" si="13"/>
        <v>7</v>
      </c>
      <c r="BT725" s="181">
        <f t="shared" si="14"/>
        <v>8.8607594936708861E-2</v>
      </c>
      <c r="BU725" s="182">
        <f t="shared" si="15"/>
        <v>6.198056514512211E-2</v>
      </c>
      <c r="BV725" s="1167"/>
      <c r="BW725" s="2"/>
      <c r="BX725" s="2"/>
      <c r="BY725" s="2"/>
      <c r="BZ725" s="2"/>
      <c r="CA725" s="2"/>
      <c r="CB725" s="2"/>
      <c r="CC725" s="2"/>
      <c r="CE725" s="2"/>
      <c r="CF725" s="2"/>
      <c r="CG725" s="1292">
        <f t="shared" si="37"/>
        <v>0</v>
      </c>
      <c r="CH725" s="1294"/>
      <c r="CI725" s="1292">
        <f t="shared" si="38"/>
        <v>0</v>
      </c>
      <c r="CJ725" s="1294"/>
      <c r="CK725" s="1292">
        <f t="shared" si="16"/>
        <v>0</v>
      </c>
      <c r="CL725" s="1294"/>
      <c r="CM725" s="1292">
        <f t="shared" si="17"/>
        <v>0</v>
      </c>
      <c r="CN725" s="1294"/>
      <c r="CO725" s="2"/>
      <c r="CP725" s="1289">
        <f t="shared" si="18"/>
        <v>0</v>
      </c>
      <c r="CQ725" s="1290"/>
      <c r="CR725" s="1290"/>
      <c r="CS725" s="1290"/>
      <c r="CT725" s="1291"/>
      <c r="CU725" s="1305">
        <f t="shared" si="19"/>
        <v>0</v>
      </c>
      <c r="CV725" s="1305"/>
      <c r="CW725" s="1305"/>
      <c r="CX725" s="1305"/>
      <c r="CY725" s="1305"/>
      <c r="CZ725" s="1305">
        <f t="shared" si="20"/>
        <v>7</v>
      </c>
      <c r="DA725" s="1305"/>
      <c r="DB725" s="1305"/>
      <c r="DC725" s="1305"/>
      <c r="DD725" s="1305"/>
      <c r="DE725" s="1305">
        <f t="shared" si="21"/>
        <v>0</v>
      </c>
      <c r="DF725" s="1305"/>
      <c r="DG725" s="1305"/>
      <c r="DH725" s="1305"/>
      <c r="DI725" s="1305"/>
      <c r="DJ725" s="1305">
        <f t="shared" si="22"/>
        <v>0</v>
      </c>
      <c r="DK725" s="1305"/>
      <c r="DL725" s="1305"/>
      <c r="DM725" s="1305"/>
      <c r="DN725" s="1305"/>
      <c r="DO725" s="1305">
        <f t="shared" si="23"/>
        <v>0</v>
      </c>
      <c r="DP725" s="1305"/>
      <c r="DQ725" s="1305"/>
      <c r="DR725" s="1305"/>
      <c r="DS725" s="1305"/>
      <c r="DT725" s="1068"/>
      <c r="DU725" s="1319">
        <f t="shared" si="24"/>
        <v>0</v>
      </c>
      <c r="DV725" s="1319"/>
      <c r="DW725" s="1319"/>
      <c r="DX725" s="1319"/>
      <c r="DY725" s="1319"/>
      <c r="DZ725" s="1319">
        <f t="shared" si="25"/>
        <v>0</v>
      </c>
      <c r="EA725" s="1319"/>
      <c r="EB725" s="1319"/>
      <c r="EC725" s="1319"/>
      <c r="ED725" s="1319"/>
      <c r="EE725" s="1319">
        <f t="shared" si="26"/>
        <v>0</v>
      </c>
      <c r="EF725" s="1319"/>
      <c r="EG725" s="1319"/>
      <c r="EH725" s="1319"/>
      <c r="EI725" s="1319"/>
      <c r="EJ725" s="1319">
        <f t="shared" si="27"/>
        <v>0</v>
      </c>
      <c r="EK725" s="1319"/>
      <c r="EL725" s="1319"/>
      <c r="EM725" s="1319"/>
      <c r="EN725" s="1319"/>
      <c r="EO725" s="1319">
        <f t="shared" si="28"/>
        <v>0</v>
      </c>
      <c r="EP725" s="1319"/>
      <c r="EQ725" s="1319"/>
      <c r="ER725" s="1319"/>
      <c r="ES725" s="1319"/>
      <c r="ET725" s="1319">
        <f t="shared" si="29"/>
        <v>0</v>
      </c>
      <c r="EU725" s="1319"/>
      <c r="EV725" s="1319"/>
      <c r="EW725" s="1319"/>
      <c r="EX725" s="1319"/>
      <c r="EZ725" s="1292" t="str">
        <f t="shared" si="30"/>
        <v/>
      </c>
      <c r="FA725" s="1293"/>
      <c r="FB725" s="1293"/>
      <c r="FC725" s="1293"/>
      <c r="FD725" s="1294"/>
      <c r="FE725" s="1292" t="str">
        <f t="shared" si="31"/>
        <v/>
      </c>
      <c r="FF725" s="1293"/>
      <c r="FG725" s="1293"/>
      <c r="FH725" s="1293"/>
      <c r="FI725" s="1294"/>
      <c r="FJ725" s="1292">
        <f t="shared" si="32"/>
        <v>1260</v>
      </c>
      <c r="FK725" s="1293"/>
      <c r="FL725" s="1293"/>
      <c r="FM725" s="1293"/>
      <c r="FN725" s="1294"/>
      <c r="FO725" s="1292" t="str">
        <f t="shared" si="33"/>
        <v/>
      </c>
      <c r="FP725" s="1293"/>
      <c r="FQ725" s="1293"/>
      <c r="FR725" s="1293"/>
      <c r="FS725" s="1294"/>
      <c r="FT725" s="1292" t="str">
        <f t="shared" si="34"/>
        <v/>
      </c>
      <c r="FU725" s="1293"/>
      <c r="FV725" s="1293"/>
      <c r="FW725" s="1293"/>
      <c r="FX725" s="1294"/>
      <c r="FY725" s="1292" t="str">
        <f t="shared" si="35"/>
        <v/>
      </c>
      <c r="FZ725" s="1293"/>
      <c r="GA725" s="1293"/>
      <c r="GB725" s="1293"/>
      <c r="GC725" s="1294"/>
    </row>
    <row r="726" spans="1:185" ht="13" customHeight="1">
      <c r="B726" s="1306"/>
      <c r="C726" s="1307"/>
      <c r="D726" s="1307"/>
      <c r="E726" s="1307"/>
      <c r="F726" s="1308"/>
      <c r="G726" s="1315"/>
      <c r="H726" s="1316"/>
      <c r="I726" s="1316"/>
      <c r="J726" s="1317"/>
      <c r="K726" s="1538"/>
      <c r="L726" s="1539"/>
      <c r="M726" s="1539"/>
      <c r="N726" s="1540"/>
      <c r="O726" s="1404"/>
      <c r="P726" s="1405"/>
      <c r="Q726" s="1405"/>
      <c r="R726" s="1405"/>
      <c r="S726" s="1406"/>
      <c r="T726" s="1404"/>
      <c r="U726" s="1405"/>
      <c r="V726" s="1405"/>
      <c r="W726" s="1406"/>
      <c r="X726" s="1309">
        <f t="shared" si="8"/>
        <v>0</v>
      </c>
      <c r="Y726" s="1310"/>
      <c r="Z726" s="1310"/>
      <c r="AA726" s="1310"/>
      <c r="AB726" s="1311"/>
      <c r="AC726" s="1544"/>
      <c r="AD726" s="1545"/>
      <c r="AE726" s="1545"/>
      <c r="AF726" s="1545"/>
      <c r="AG726" s="1546"/>
      <c r="AH726" s="1312" t="str">
        <f t="shared" si="36"/>
        <v/>
      </c>
      <c r="AI726" s="1313"/>
      <c r="AJ726" s="1314"/>
      <c r="AK726" s="1306" t="s">
        <v>800</v>
      </c>
      <c r="AL726" s="1307"/>
      <c r="AM726" s="1307"/>
      <c r="AN726" s="1307"/>
      <c r="AO726" s="1308"/>
      <c r="AP726" s="2"/>
      <c r="AQ726" s="2"/>
      <c r="AR726" s="2"/>
      <c r="AS726" s="2"/>
      <c r="AY726" s="762"/>
      <c r="AZ726" s="68" t="str">
        <f t="shared" si="9"/>
        <v>N/A</v>
      </c>
      <c r="BA726" s="2"/>
      <c r="BB726" s="2"/>
      <c r="BC726" s="2"/>
      <c r="BD726" s="2"/>
      <c r="BE726" s="113"/>
      <c r="BF726" s="178">
        <f t="shared" si="10"/>
        <v>0</v>
      </c>
      <c r="BG726" s="181">
        <f t="shared" si="11"/>
        <v>0</v>
      </c>
      <c r="BH726" s="182" t="str">
        <f t="shared" si="12"/>
        <v/>
      </c>
      <c r="BI726" s="2"/>
      <c r="BJ726" s="2"/>
      <c r="BK726" s="2"/>
      <c r="BL726" s="2"/>
      <c r="BM726" s="2"/>
      <c r="BN726" s="2"/>
      <c r="BS726" s="178">
        <f t="shared" si="13"/>
        <v>0</v>
      </c>
      <c r="BT726" s="181">
        <f t="shared" si="14"/>
        <v>0</v>
      </c>
      <c r="BU726" s="182" t="str">
        <f t="shared" si="15"/>
        <v/>
      </c>
      <c r="BV726" s="2"/>
      <c r="BW726" s="2"/>
      <c r="BX726" s="2"/>
      <c r="BY726" s="2"/>
      <c r="BZ726" s="2"/>
      <c r="CA726" s="2"/>
      <c r="CB726" s="2"/>
      <c r="CC726" s="2"/>
      <c r="CE726" s="2"/>
      <c r="CF726" s="2"/>
      <c r="CG726" s="1292">
        <f t="shared" si="37"/>
        <v>0</v>
      </c>
      <c r="CH726" s="1294"/>
      <c r="CI726" s="1292">
        <f t="shared" si="38"/>
        <v>0</v>
      </c>
      <c r="CJ726" s="1294"/>
      <c r="CK726" s="1292">
        <f t="shared" si="16"/>
        <v>0</v>
      </c>
      <c r="CL726" s="1294"/>
      <c r="CM726" s="1292">
        <f t="shared" si="17"/>
        <v>0</v>
      </c>
      <c r="CN726" s="1294"/>
      <c r="CO726" s="2"/>
      <c r="CP726" s="1289">
        <f t="shared" si="18"/>
        <v>0</v>
      </c>
      <c r="CQ726" s="1290"/>
      <c r="CR726" s="1290"/>
      <c r="CS726" s="1290"/>
      <c r="CT726" s="1291"/>
      <c r="CU726" s="1305">
        <f t="shared" si="19"/>
        <v>0</v>
      </c>
      <c r="CV726" s="1305"/>
      <c r="CW726" s="1305"/>
      <c r="CX726" s="1305"/>
      <c r="CY726" s="1305"/>
      <c r="CZ726" s="1305">
        <f t="shared" si="20"/>
        <v>0</v>
      </c>
      <c r="DA726" s="1305"/>
      <c r="DB726" s="1305"/>
      <c r="DC726" s="1305"/>
      <c r="DD726" s="1305"/>
      <c r="DE726" s="1305">
        <f t="shared" si="21"/>
        <v>0</v>
      </c>
      <c r="DF726" s="1305"/>
      <c r="DG726" s="1305"/>
      <c r="DH726" s="1305"/>
      <c r="DI726" s="1305"/>
      <c r="DJ726" s="1305">
        <f t="shared" si="22"/>
        <v>0</v>
      </c>
      <c r="DK726" s="1305"/>
      <c r="DL726" s="1305"/>
      <c r="DM726" s="1305"/>
      <c r="DN726" s="1305"/>
      <c r="DO726" s="1305">
        <f t="shared" si="23"/>
        <v>0</v>
      </c>
      <c r="DP726" s="1305"/>
      <c r="DQ726" s="1305"/>
      <c r="DR726" s="1305"/>
      <c r="DS726" s="1305"/>
      <c r="DT726" s="1068"/>
      <c r="DU726" s="1319">
        <f t="shared" si="24"/>
        <v>0</v>
      </c>
      <c r="DV726" s="1319"/>
      <c r="DW726" s="1319"/>
      <c r="DX726" s="1319"/>
      <c r="DY726" s="1319"/>
      <c r="DZ726" s="1319">
        <f t="shared" si="25"/>
        <v>0</v>
      </c>
      <c r="EA726" s="1319"/>
      <c r="EB726" s="1319"/>
      <c r="EC726" s="1319"/>
      <c r="ED726" s="1319"/>
      <c r="EE726" s="1319">
        <f t="shared" si="26"/>
        <v>0</v>
      </c>
      <c r="EF726" s="1319"/>
      <c r="EG726" s="1319"/>
      <c r="EH726" s="1319"/>
      <c r="EI726" s="1319"/>
      <c r="EJ726" s="1319">
        <f t="shared" si="27"/>
        <v>0</v>
      </c>
      <c r="EK726" s="1319"/>
      <c r="EL726" s="1319"/>
      <c r="EM726" s="1319"/>
      <c r="EN726" s="1319"/>
      <c r="EO726" s="1319">
        <f t="shared" si="28"/>
        <v>0</v>
      </c>
      <c r="EP726" s="1319"/>
      <c r="EQ726" s="1319"/>
      <c r="ER726" s="1319"/>
      <c r="ES726" s="1319"/>
      <c r="ET726" s="1319">
        <f t="shared" si="29"/>
        <v>0</v>
      </c>
      <c r="EU726" s="1319"/>
      <c r="EV726" s="1319"/>
      <c r="EW726" s="1319"/>
      <c r="EX726" s="1319"/>
      <c r="EY726" s="2"/>
      <c r="EZ726" s="1292" t="str">
        <f t="shared" si="30"/>
        <v/>
      </c>
      <c r="FA726" s="1293"/>
      <c r="FB726" s="1293"/>
      <c r="FC726" s="1293"/>
      <c r="FD726" s="1294"/>
      <c r="FE726" s="1292" t="str">
        <f t="shared" si="31"/>
        <v/>
      </c>
      <c r="FF726" s="1293"/>
      <c r="FG726" s="1293"/>
      <c r="FH726" s="1293"/>
      <c r="FI726" s="1294"/>
      <c r="FJ726" s="1292" t="str">
        <f t="shared" si="32"/>
        <v/>
      </c>
      <c r="FK726" s="1293"/>
      <c r="FL726" s="1293"/>
      <c r="FM726" s="1293"/>
      <c r="FN726" s="1294"/>
      <c r="FO726" s="1292" t="str">
        <f t="shared" si="33"/>
        <v/>
      </c>
      <c r="FP726" s="1293"/>
      <c r="FQ726" s="1293"/>
      <c r="FR726" s="1293"/>
      <c r="FS726" s="1294"/>
      <c r="FT726" s="1292" t="str">
        <f t="shared" si="34"/>
        <v/>
      </c>
      <c r="FU726" s="1293"/>
      <c r="FV726" s="1293"/>
      <c r="FW726" s="1293"/>
      <c r="FX726" s="1294"/>
      <c r="FY726" s="1292" t="str">
        <f t="shared" si="35"/>
        <v/>
      </c>
      <c r="FZ726" s="1293"/>
      <c r="GA726" s="1293"/>
      <c r="GB726" s="1293"/>
      <c r="GC726" s="1294"/>
    </row>
    <row r="727" spans="1:185" ht="13" customHeight="1">
      <c r="A727" s="2"/>
      <c r="B727" s="1306"/>
      <c r="C727" s="1307"/>
      <c r="D727" s="1307"/>
      <c r="E727" s="1307"/>
      <c r="F727" s="1308"/>
      <c r="G727" s="1315"/>
      <c r="H727" s="1316"/>
      <c r="I727" s="1316"/>
      <c r="J727" s="1317"/>
      <c r="K727" s="1538"/>
      <c r="L727" s="1539"/>
      <c r="M727" s="1539"/>
      <c r="N727" s="1540"/>
      <c r="O727" s="1404"/>
      <c r="P727" s="1405"/>
      <c r="Q727" s="1405"/>
      <c r="R727" s="1405"/>
      <c r="S727" s="1406"/>
      <c r="T727" s="1404"/>
      <c r="U727" s="1405"/>
      <c r="V727" s="1405"/>
      <c r="W727" s="1406"/>
      <c r="X727" s="1309">
        <f t="shared" si="8"/>
        <v>0</v>
      </c>
      <c r="Y727" s="1310"/>
      <c r="Z727" s="1310"/>
      <c r="AA727" s="1310"/>
      <c r="AB727" s="1311"/>
      <c r="AC727" s="1544"/>
      <c r="AD727" s="1545"/>
      <c r="AE727" s="1545"/>
      <c r="AF727" s="1545"/>
      <c r="AG727" s="1546"/>
      <c r="AH727" s="1312" t="str">
        <f t="shared" si="36"/>
        <v/>
      </c>
      <c r="AI727" s="1313"/>
      <c r="AJ727" s="1314"/>
      <c r="AK727" s="1306" t="s">
        <v>800</v>
      </c>
      <c r="AL727" s="1307"/>
      <c r="AM727" s="1307"/>
      <c r="AN727" s="1307"/>
      <c r="AO727" s="1308"/>
      <c r="AP727" s="2"/>
      <c r="AQ727" s="2"/>
      <c r="AR727" s="2"/>
      <c r="AS727" s="2"/>
      <c r="AY727" s="762"/>
      <c r="AZ727" s="68" t="str">
        <f t="shared" si="9"/>
        <v>N/A</v>
      </c>
      <c r="BA727" s="2"/>
      <c r="BB727" s="2"/>
      <c r="BC727" s="2"/>
      <c r="BD727" s="2"/>
      <c r="BE727" s="113"/>
      <c r="BF727" s="178">
        <f t="shared" si="10"/>
        <v>0</v>
      </c>
      <c r="BG727" s="181">
        <f t="shared" si="11"/>
        <v>0</v>
      </c>
      <c r="BH727" s="182" t="str">
        <f t="shared" si="12"/>
        <v/>
      </c>
      <c r="BI727" s="2"/>
      <c r="BJ727" s="2"/>
      <c r="BK727" s="2"/>
      <c r="BL727" s="2"/>
      <c r="BM727" s="2"/>
      <c r="BN727" s="2"/>
      <c r="BS727" s="178">
        <f t="shared" si="13"/>
        <v>0</v>
      </c>
      <c r="BT727" s="181">
        <f t="shared" si="14"/>
        <v>0</v>
      </c>
      <c r="BU727" s="182" t="str">
        <f t="shared" si="15"/>
        <v/>
      </c>
      <c r="BV727" s="2"/>
      <c r="BW727" s="2"/>
      <c r="BX727" s="2"/>
      <c r="BY727" s="2"/>
      <c r="BZ727" s="2"/>
      <c r="CA727" s="2"/>
      <c r="CB727" s="2"/>
      <c r="CC727" s="2"/>
      <c r="CE727" s="2"/>
      <c r="CF727" s="2"/>
      <c r="CG727" s="1292">
        <f t="shared" si="37"/>
        <v>0</v>
      </c>
      <c r="CH727" s="1294"/>
      <c r="CI727" s="1292">
        <f t="shared" si="38"/>
        <v>0</v>
      </c>
      <c r="CJ727" s="1294"/>
      <c r="CK727" s="1292">
        <f t="shared" si="16"/>
        <v>0</v>
      </c>
      <c r="CL727" s="1294"/>
      <c r="CM727" s="1292">
        <f t="shared" si="17"/>
        <v>0</v>
      </c>
      <c r="CN727" s="1294"/>
      <c r="CO727" s="2"/>
      <c r="CP727" s="1289">
        <f t="shared" si="18"/>
        <v>0</v>
      </c>
      <c r="CQ727" s="1290"/>
      <c r="CR727" s="1290"/>
      <c r="CS727" s="1290"/>
      <c r="CT727" s="1291"/>
      <c r="CU727" s="1305">
        <f t="shared" si="19"/>
        <v>0</v>
      </c>
      <c r="CV727" s="1305"/>
      <c r="CW727" s="1305"/>
      <c r="CX727" s="1305"/>
      <c r="CY727" s="1305"/>
      <c r="CZ727" s="1305">
        <f t="shared" si="20"/>
        <v>0</v>
      </c>
      <c r="DA727" s="1305"/>
      <c r="DB727" s="1305"/>
      <c r="DC727" s="1305"/>
      <c r="DD727" s="1305"/>
      <c r="DE727" s="1305">
        <f t="shared" si="21"/>
        <v>0</v>
      </c>
      <c r="DF727" s="1305"/>
      <c r="DG727" s="1305"/>
      <c r="DH727" s="1305"/>
      <c r="DI727" s="1305"/>
      <c r="DJ727" s="1305">
        <f t="shared" si="22"/>
        <v>0</v>
      </c>
      <c r="DK727" s="1305"/>
      <c r="DL727" s="1305"/>
      <c r="DM727" s="1305"/>
      <c r="DN727" s="1305"/>
      <c r="DO727" s="1305">
        <f t="shared" si="23"/>
        <v>0</v>
      </c>
      <c r="DP727" s="1305"/>
      <c r="DQ727" s="1305"/>
      <c r="DR727" s="1305"/>
      <c r="DS727" s="1305"/>
      <c r="DT727" s="1068"/>
      <c r="DU727" s="1319">
        <f t="shared" si="24"/>
        <v>0</v>
      </c>
      <c r="DV727" s="1319"/>
      <c r="DW727" s="1319"/>
      <c r="DX727" s="1319"/>
      <c r="DY727" s="1319"/>
      <c r="DZ727" s="1319">
        <f t="shared" si="25"/>
        <v>0</v>
      </c>
      <c r="EA727" s="1319"/>
      <c r="EB727" s="1319"/>
      <c r="EC727" s="1319"/>
      <c r="ED727" s="1319"/>
      <c r="EE727" s="1319">
        <f t="shared" si="26"/>
        <v>0</v>
      </c>
      <c r="EF727" s="1319"/>
      <c r="EG727" s="1319"/>
      <c r="EH727" s="1319"/>
      <c r="EI727" s="1319"/>
      <c r="EJ727" s="1319">
        <f t="shared" si="27"/>
        <v>0</v>
      </c>
      <c r="EK727" s="1319"/>
      <c r="EL727" s="1319"/>
      <c r="EM727" s="1319"/>
      <c r="EN727" s="1319"/>
      <c r="EO727" s="1319">
        <f t="shared" si="28"/>
        <v>0</v>
      </c>
      <c r="EP727" s="1319"/>
      <c r="EQ727" s="1319"/>
      <c r="ER727" s="1319"/>
      <c r="ES727" s="1319"/>
      <c r="ET727" s="1319">
        <f t="shared" si="29"/>
        <v>0</v>
      </c>
      <c r="EU727" s="1319"/>
      <c r="EV727" s="1319"/>
      <c r="EW727" s="1319"/>
      <c r="EX727" s="1319"/>
      <c r="EY727" s="2"/>
      <c r="EZ727" s="1292" t="str">
        <f t="shared" si="30"/>
        <v/>
      </c>
      <c r="FA727" s="1293"/>
      <c r="FB727" s="1293"/>
      <c r="FC727" s="1293"/>
      <c r="FD727" s="1294"/>
      <c r="FE727" s="1292" t="str">
        <f t="shared" si="31"/>
        <v/>
      </c>
      <c r="FF727" s="1293"/>
      <c r="FG727" s="1293"/>
      <c r="FH727" s="1293"/>
      <c r="FI727" s="1294"/>
      <c r="FJ727" s="1292" t="str">
        <f t="shared" si="32"/>
        <v/>
      </c>
      <c r="FK727" s="1293"/>
      <c r="FL727" s="1293"/>
      <c r="FM727" s="1293"/>
      <c r="FN727" s="1294"/>
      <c r="FO727" s="1292" t="str">
        <f t="shared" si="33"/>
        <v/>
      </c>
      <c r="FP727" s="1293"/>
      <c r="FQ727" s="1293"/>
      <c r="FR727" s="1293"/>
      <c r="FS727" s="1294"/>
      <c r="FT727" s="1292" t="str">
        <f t="shared" si="34"/>
        <v/>
      </c>
      <c r="FU727" s="1293"/>
      <c r="FV727" s="1293"/>
      <c r="FW727" s="1293"/>
      <c r="FX727" s="1294"/>
      <c r="FY727" s="1292" t="str">
        <f t="shared" si="35"/>
        <v/>
      </c>
      <c r="FZ727" s="1293"/>
      <c r="GA727" s="1293"/>
      <c r="GB727" s="1293"/>
      <c r="GC727" s="1294"/>
    </row>
    <row r="728" spans="1:185" ht="13" customHeight="1">
      <c r="A728" s="2"/>
      <c r="B728" s="1306"/>
      <c r="C728" s="1307"/>
      <c r="D728" s="1307"/>
      <c r="E728" s="1307"/>
      <c r="F728" s="1308"/>
      <c r="G728" s="1315"/>
      <c r="H728" s="1316"/>
      <c r="I728" s="1316"/>
      <c r="J728" s="1317"/>
      <c r="K728" s="1538"/>
      <c r="L728" s="1539"/>
      <c r="M728" s="1539"/>
      <c r="N728" s="1540"/>
      <c r="O728" s="1404"/>
      <c r="P728" s="1405"/>
      <c r="Q728" s="1405"/>
      <c r="R728" s="1405"/>
      <c r="S728" s="1406"/>
      <c r="T728" s="1404"/>
      <c r="U728" s="1405"/>
      <c r="V728" s="1405"/>
      <c r="W728" s="1406"/>
      <c r="X728" s="1309">
        <f t="shared" si="8"/>
        <v>0</v>
      </c>
      <c r="Y728" s="1310"/>
      <c r="Z728" s="1310"/>
      <c r="AA728" s="1310"/>
      <c r="AB728" s="1311"/>
      <c r="AC728" s="1544"/>
      <c r="AD728" s="1545"/>
      <c r="AE728" s="1545"/>
      <c r="AF728" s="1545"/>
      <c r="AG728" s="1546"/>
      <c r="AH728" s="1312" t="str">
        <f t="shared" si="36"/>
        <v/>
      </c>
      <c r="AI728" s="1313"/>
      <c r="AJ728" s="1314"/>
      <c r="AK728" s="1306" t="s">
        <v>800</v>
      </c>
      <c r="AL728" s="1307"/>
      <c r="AM728" s="1307"/>
      <c r="AN728" s="1307"/>
      <c r="AO728" s="1308"/>
      <c r="AP728" s="2"/>
      <c r="AQ728" s="2"/>
      <c r="AR728" s="2"/>
      <c r="AS728" s="2"/>
      <c r="AY728" s="762"/>
      <c r="AZ728" s="68" t="str">
        <f t="shared" si="9"/>
        <v>N/A</v>
      </c>
      <c r="BA728" s="2"/>
      <c r="BB728" s="2"/>
      <c r="BC728" s="2"/>
      <c r="BD728" s="2"/>
      <c r="BE728" s="113"/>
      <c r="BF728" s="178">
        <f t="shared" si="10"/>
        <v>0</v>
      </c>
      <c r="BG728" s="181">
        <f t="shared" si="11"/>
        <v>0</v>
      </c>
      <c r="BH728" s="182" t="str">
        <f t="shared" si="12"/>
        <v/>
      </c>
      <c r="BI728" s="2"/>
      <c r="BJ728" s="2"/>
      <c r="BK728" s="2"/>
      <c r="BL728" s="2"/>
      <c r="BM728" s="2"/>
      <c r="BN728" s="2"/>
      <c r="BS728" s="178">
        <f t="shared" si="13"/>
        <v>0</v>
      </c>
      <c r="BT728" s="181">
        <f t="shared" si="14"/>
        <v>0</v>
      </c>
      <c r="BU728" s="182" t="str">
        <f t="shared" si="15"/>
        <v/>
      </c>
      <c r="BV728" s="2"/>
      <c r="BW728" s="2"/>
      <c r="BX728" s="2"/>
      <c r="BY728" s="2"/>
      <c r="BZ728" s="2"/>
      <c r="CA728" s="2"/>
      <c r="CB728" s="2"/>
      <c r="CC728" s="2"/>
      <c r="CE728" s="2"/>
      <c r="CF728" s="2"/>
      <c r="CG728" s="1292">
        <f t="shared" si="37"/>
        <v>0</v>
      </c>
      <c r="CH728" s="1294"/>
      <c r="CI728" s="1292">
        <f t="shared" si="38"/>
        <v>0</v>
      </c>
      <c r="CJ728" s="1294"/>
      <c r="CK728" s="1292">
        <f t="shared" si="16"/>
        <v>0</v>
      </c>
      <c r="CL728" s="1294"/>
      <c r="CM728" s="1292">
        <f t="shared" si="17"/>
        <v>0</v>
      </c>
      <c r="CN728" s="1294"/>
      <c r="CO728" s="2"/>
      <c r="CP728" s="1289">
        <f t="shared" si="18"/>
        <v>0</v>
      </c>
      <c r="CQ728" s="1290"/>
      <c r="CR728" s="1290"/>
      <c r="CS728" s="1290"/>
      <c r="CT728" s="1291"/>
      <c r="CU728" s="1305">
        <f t="shared" si="19"/>
        <v>0</v>
      </c>
      <c r="CV728" s="1305"/>
      <c r="CW728" s="1305"/>
      <c r="CX728" s="1305"/>
      <c r="CY728" s="1305"/>
      <c r="CZ728" s="1305">
        <f t="shared" si="20"/>
        <v>0</v>
      </c>
      <c r="DA728" s="1305"/>
      <c r="DB728" s="1305"/>
      <c r="DC728" s="1305"/>
      <c r="DD728" s="1305"/>
      <c r="DE728" s="1305">
        <f t="shared" si="21"/>
        <v>0</v>
      </c>
      <c r="DF728" s="1305"/>
      <c r="DG728" s="1305"/>
      <c r="DH728" s="1305"/>
      <c r="DI728" s="1305"/>
      <c r="DJ728" s="1305">
        <f t="shared" si="22"/>
        <v>0</v>
      </c>
      <c r="DK728" s="1305"/>
      <c r="DL728" s="1305"/>
      <c r="DM728" s="1305"/>
      <c r="DN728" s="1305"/>
      <c r="DO728" s="1305">
        <f t="shared" si="23"/>
        <v>0</v>
      </c>
      <c r="DP728" s="1305"/>
      <c r="DQ728" s="1305"/>
      <c r="DR728" s="1305"/>
      <c r="DS728" s="1305"/>
      <c r="DT728" s="1068"/>
      <c r="DU728" s="1319">
        <f t="shared" si="24"/>
        <v>0</v>
      </c>
      <c r="DV728" s="1319"/>
      <c r="DW728" s="1319"/>
      <c r="DX728" s="1319"/>
      <c r="DY728" s="1319"/>
      <c r="DZ728" s="1319">
        <f t="shared" si="25"/>
        <v>0</v>
      </c>
      <c r="EA728" s="1319"/>
      <c r="EB728" s="1319"/>
      <c r="EC728" s="1319"/>
      <c r="ED728" s="1319"/>
      <c r="EE728" s="1319">
        <f t="shared" si="26"/>
        <v>0</v>
      </c>
      <c r="EF728" s="1319"/>
      <c r="EG728" s="1319"/>
      <c r="EH728" s="1319"/>
      <c r="EI728" s="1319"/>
      <c r="EJ728" s="1319">
        <f t="shared" si="27"/>
        <v>0</v>
      </c>
      <c r="EK728" s="1319"/>
      <c r="EL728" s="1319"/>
      <c r="EM728" s="1319"/>
      <c r="EN728" s="1319"/>
      <c r="EO728" s="1319">
        <f t="shared" si="28"/>
        <v>0</v>
      </c>
      <c r="EP728" s="1319"/>
      <c r="EQ728" s="1319"/>
      <c r="ER728" s="1319"/>
      <c r="ES728" s="1319"/>
      <c r="ET728" s="1319">
        <f t="shared" si="29"/>
        <v>0</v>
      </c>
      <c r="EU728" s="1319"/>
      <c r="EV728" s="1319"/>
      <c r="EW728" s="1319"/>
      <c r="EX728" s="1319"/>
      <c r="EY728" s="2"/>
      <c r="EZ728" s="1292" t="str">
        <f t="shared" si="30"/>
        <v/>
      </c>
      <c r="FA728" s="1293"/>
      <c r="FB728" s="1293"/>
      <c r="FC728" s="1293"/>
      <c r="FD728" s="1294"/>
      <c r="FE728" s="1292" t="str">
        <f t="shared" si="31"/>
        <v/>
      </c>
      <c r="FF728" s="1293"/>
      <c r="FG728" s="1293"/>
      <c r="FH728" s="1293"/>
      <c r="FI728" s="1294"/>
      <c r="FJ728" s="1292" t="str">
        <f t="shared" si="32"/>
        <v/>
      </c>
      <c r="FK728" s="1293"/>
      <c r="FL728" s="1293"/>
      <c r="FM728" s="1293"/>
      <c r="FN728" s="1294"/>
      <c r="FO728" s="1292" t="str">
        <f t="shared" si="33"/>
        <v/>
      </c>
      <c r="FP728" s="1293"/>
      <c r="FQ728" s="1293"/>
      <c r="FR728" s="1293"/>
      <c r="FS728" s="1294"/>
      <c r="FT728" s="1292" t="str">
        <f t="shared" si="34"/>
        <v/>
      </c>
      <c r="FU728" s="1293"/>
      <c r="FV728" s="1293"/>
      <c r="FW728" s="1293"/>
      <c r="FX728" s="1294"/>
      <c r="FY728" s="1292" t="str">
        <f t="shared" si="35"/>
        <v/>
      </c>
      <c r="FZ728" s="1293"/>
      <c r="GA728" s="1293"/>
      <c r="GB728" s="1293"/>
      <c r="GC728" s="1294"/>
    </row>
    <row r="729" spans="1:185" ht="13" customHeight="1">
      <c r="A729" s="2"/>
      <c r="B729" s="1306"/>
      <c r="C729" s="1307"/>
      <c r="D729" s="1307"/>
      <c r="E729" s="1307"/>
      <c r="F729" s="1308"/>
      <c r="G729" s="1315"/>
      <c r="H729" s="1316"/>
      <c r="I729" s="1316"/>
      <c r="J729" s="1317"/>
      <c r="K729" s="1538"/>
      <c r="L729" s="1539"/>
      <c r="M729" s="1539"/>
      <c r="N729" s="1540"/>
      <c r="O729" s="1404"/>
      <c r="P729" s="1405"/>
      <c r="Q729" s="1405"/>
      <c r="R729" s="1405"/>
      <c r="S729" s="1406"/>
      <c r="T729" s="1404"/>
      <c r="U729" s="1405"/>
      <c r="V729" s="1405"/>
      <c r="W729" s="1406"/>
      <c r="X729" s="1309">
        <f t="shared" si="8"/>
        <v>0</v>
      </c>
      <c r="Y729" s="1310"/>
      <c r="Z729" s="1310"/>
      <c r="AA729" s="1310"/>
      <c r="AB729" s="1311"/>
      <c r="AC729" s="1544"/>
      <c r="AD729" s="1545"/>
      <c r="AE729" s="1545"/>
      <c r="AF729" s="1545"/>
      <c r="AG729" s="1546"/>
      <c r="AH729" s="1312" t="str">
        <f t="shared" si="36"/>
        <v/>
      </c>
      <c r="AI729" s="1313"/>
      <c r="AJ729" s="1314"/>
      <c r="AK729" s="1306" t="s">
        <v>800</v>
      </c>
      <c r="AL729" s="1307"/>
      <c r="AM729" s="1307"/>
      <c r="AN729" s="1307"/>
      <c r="AO729" s="1308"/>
      <c r="AP729" s="2"/>
      <c r="AQ729" s="2"/>
      <c r="AR729" s="2"/>
      <c r="AS729" s="2"/>
      <c r="AY729" s="762"/>
      <c r="AZ729" s="68" t="str">
        <f t="shared" si="9"/>
        <v>N/A</v>
      </c>
      <c r="BA729" s="2"/>
      <c r="BB729" s="2"/>
      <c r="BC729" s="2"/>
      <c r="BD729" s="2"/>
      <c r="BE729" s="113"/>
      <c r="BF729" s="178">
        <f t="shared" si="10"/>
        <v>0</v>
      </c>
      <c r="BG729" s="181">
        <f t="shared" si="11"/>
        <v>0</v>
      </c>
      <c r="BH729" s="182" t="str">
        <f t="shared" si="12"/>
        <v/>
      </c>
      <c r="BI729" s="2"/>
      <c r="BJ729" s="2"/>
      <c r="BK729" s="2"/>
      <c r="BL729" s="2"/>
      <c r="BM729" s="2"/>
      <c r="BN729" s="2"/>
      <c r="BS729" s="178">
        <f t="shared" si="13"/>
        <v>0</v>
      </c>
      <c r="BT729" s="181">
        <f t="shared" si="14"/>
        <v>0</v>
      </c>
      <c r="BU729" s="182" t="str">
        <f t="shared" si="15"/>
        <v/>
      </c>
      <c r="BV729" s="2"/>
      <c r="BW729" s="2"/>
      <c r="BX729" s="2"/>
      <c r="BY729" s="2"/>
      <c r="BZ729" s="2"/>
      <c r="CA729" s="2"/>
      <c r="CB729" s="2"/>
      <c r="CC729" s="2"/>
      <c r="CE729" s="2"/>
      <c r="CF729" s="2"/>
      <c r="CG729" s="1292">
        <f t="shared" si="37"/>
        <v>0</v>
      </c>
      <c r="CH729" s="1294"/>
      <c r="CI729" s="1292">
        <f t="shared" si="38"/>
        <v>0</v>
      </c>
      <c r="CJ729" s="1294"/>
      <c r="CK729" s="1292">
        <f t="shared" si="16"/>
        <v>0</v>
      </c>
      <c r="CL729" s="1294"/>
      <c r="CM729" s="1292">
        <f t="shared" si="17"/>
        <v>0</v>
      </c>
      <c r="CN729" s="1294"/>
      <c r="CO729" s="2"/>
      <c r="CP729" s="1289">
        <f t="shared" si="18"/>
        <v>0</v>
      </c>
      <c r="CQ729" s="1290"/>
      <c r="CR729" s="1290"/>
      <c r="CS729" s="1290"/>
      <c r="CT729" s="1291"/>
      <c r="CU729" s="1305">
        <f t="shared" si="19"/>
        <v>0</v>
      </c>
      <c r="CV729" s="1305"/>
      <c r="CW729" s="1305"/>
      <c r="CX729" s="1305"/>
      <c r="CY729" s="1305"/>
      <c r="CZ729" s="1305">
        <f t="shared" si="20"/>
        <v>0</v>
      </c>
      <c r="DA729" s="1305"/>
      <c r="DB729" s="1305"/>
      <c r="DC729" s="1305"/>
      <c r="DD729" s="1305"/>
      <c r="DE729" s="1305">
        <f t="shared" si="21"/>
        <v>0</v>
      </c>
      <c r="DF729" s="1305"/>
      <c r="DG729" s="1305"/>
      <c r="DH729" s="1305"/>
      <c r="DI729" s="1305"/>
      <c r="DJ729" s="1305">
        <f t="shared" si="22"/>
        <v>0</v>
      </c>
      <c r="DK729" s="1305"/>
      <c r="DL729" s="1305"/>
      <c r="DM729" s="1305"/>
      <c r="DN729" s="1305"/>
      <c r="DO729" s="1305">
        <f t="shared" si="23"/>
        <v>0</v>
      </c>
      <c r="DP729" s="1305"/>
      <c r="DQ729" s="1305"/>
      <c r="DR729" s="1305"/>
      <c r="DS729" s="1305"/>
      <c r="DT729" s="1068"/>
      <c r="DU729" s="1319">
        <f t="shared" si="24"/>
        <v>0</v>
      </c>
      <c r="DV729" s="1319"/>
      <c r="DW729" s="1319"/>
      <c r="DX729" s="1319"/>
      <c r="DY729" s="1319"/>
      <c r="DZ729" s="1319">
        <f t="shared" si="25"/>
        <v>0</v>
      </c>
      <c r="EA729" s="1319"/>
      <c r="EB729" s="1319"/>
      <c r="EC729" s="1319"/>
      <c r="ED729" s="1319"/>
      <c r="EE729" s="1319">
        <f t="shared" si="26"/>
        <v>0</v>
      </c>
      <c r="EF729" s="1319"/>
      <c r="EG729" s="1319"/>
      <c r="EH729" s="1319"/>
      <c r="EI729" s="1319"/>
      <c r="EJ729" s="1319">
        <f t="shared" si="27"/>
        <v>0</v>
      </c>
      <c r="EK729" s="1319"/>
      <c r="EL729" s="1319"/>
      <c r="EM729" s="1319"/>
      <c r="EN729" s="1319"/>
      <c r="EO729" s="1319">
        <f t="shared" si="28"/>
        <v>0</v>
      </c>
      <c r="EP729" s="1319"/>
      <c r="EQ729" s="1319"/>
      <c r="ER729" s="1319"/>
      <c r="ES729" s="1319"/>
      <c r="ET729" s="1319">
        <f t="shared" si="29"/>
        <v>0</v>
      </c>
      <c r="EU729" s="1319"/>
      <c r="EV729" s="1319"/>
      <c r="EW729" s="1319"/>
      <c r="EX729" s="1319"/>
      <c r="EZ729" s="1292" t="str">
        <f t="shared" si="30"/>
        <v/>
      </c>
      <c r="FA729" s="1293"/>
      <c r="FB729" s="1293"/>
      <c r="FC729" s="1293"/>
      <c r="FD729" s="1294"/>
      <c r="FE729" s="1292" t="str">
        <f t="shared" si="31"/>
        <v/>
      </c>
      <c r="FF729" s="1293"/>
      <c r="FG729" s="1293"/>
      <c r="FH729" s="1293"/>
      <c r="FI729" s="1294"/>
      <c r="FJ729" s="1292" t="str">
        <f t="shared" si="32"/>
        <v/>
      </c>
      <c r="FK729" s="1293"/>
      <c r="FL729" s="1293"/>
      <c r="FM729" s="1293"/>
      <c r="FN729" s="1294"/>
      <c r="FO729" s="1292" t="str">
        <f t="shared" si="33"/>
        <v/>
      </c>
      <c r="FP729" s="1293"/>
      <c r="FQ729" s="1293"/>
      <c r="FR729" s="1293"/>
      <c r="FS729" s="1294"/>
      <c r="FT729" s="1292" t="str">
        <f t="shared" si="34"/>
        <v/>
      </c>
      <c r="FU729" s="1293"/>
      <c r="FV729" s="1293"/>
      <c r="FW729" s="1293"/>
      <c r="FX729" s="1294"/>
      <c r="FY729" s="1292" t="str">
        <f t="shared" si="35"/>
        <v/>
      </c>
      <c r="FZ729" s="1293"/>
      <c r="GA729" s="1293"/>
      <c r="GB729" s="1293"/>
      <c r="GC729" s="1294"/>
    </row>
    <row r="730" spans="1:185" ht="13" customHeight="1">
      <c r="B730" s="1306"/>
      <c r="C730" s="1307"/>
      <c r="D730" s="1307"/>
      <c r="E730" s="1307"/>
      <c r="F730" s="1308"/>
      <c r="G730" s="1315"/>
      <c r="H730" s="1316"/>
      <c r="I730" s="1316"/>
      <c r="J730" s="1317"/>
      <c r="K730" s="1538"/>
      <c r="L730" s="1539"/>
      <c r="M730" s="1539"/>
      <c r="N730" s="1540"/>
      <c r="O730" s="1404"/>
      <c r="P730" s="1405"/>
      <c r="Q730" s="1405"/>
      <c r="R730" s="1405"/>
      <c r="S730" s="1406"/>
      <c r="T730" s="1404"/>
      <c r="U730" s="1405"/>
      <c r="V730" s="1405"/>
      <c r="W730" s="1406"/>
      <c r="X730" s="1309">
        <f t="shared" si="8"/>
        <v>0</v>
      </c>
      <c r="Y730" s="1310"/>
      <c r="Z730" s="1310"/>
      <c r="AA730" s="1310"/>
      <c r="AB730" s="1311"/>
      <c r="AC730" s="1544"/>
      <c r="AD730" s="1545"/>
      <c r="AE730" s="1545"/>
      <c r="AF730" s="1545"/>
      <c r="AG730" s="1546"/>
      <c r="AH730" s="1312" t="str">
        <f t="shared" si="36"/>
        <v/>
      </c>
      <c r="AI730" s="1313"/>
      <c r="AJ730" s="1314"/>
      <c r="AK730" s="1306" t="s">
        <v>800</v>
      </c>
      <c r="AL730" s="1307"/>
      <c r="AM730" s="1307"/>
      <c r="AN730" s="1307"/>
      <c r="AO730" s="1308"/>
      <c r="AP730" s="2"/>
      <c r="AQ730" s="2"/>
      <c r="AR730" s="2"/>
      <c r="AS730" s="2"/>
      <c r="AY730" s="762"/>
      <c r="AZ730" s="68" t="str">
        <f t="shared" si="9"/>
        <v>N/A</v>
      </c>
      <c r="BA730" s="2"/>
      <c r="BB730" s="2"/>
      <c r="BC730" s="2"/>
      <c r="BD730" s="2"/>
      <c r="BE730" s="113"/>
      <c r="BF730" s="178">
        <f t="shared" si="10"/>
        <v>0</v>
      </c>
      <c r="BG730" s="181">
        <f t="shared" si="11"/>
        <v>0</v>
      </c>
      <c r="BH730" s="182" t="str">
        <f t="shared" si="12"/>
        <v/>
      </c>
      <c r="BI730" s="2"/>
      <c r="BJ730" s="2"/>
      <c r="BK730" s="2"/>
      <c r="BL730" s="2"/>
      <c r="BM730" s="2"/>
      <c r="BN730" s="2"/>
      <c r="BS730" s="178">
        <f t="shared" si="13"/>
        <v>0</v>
      </c>
      <c r="BT730" s="181">
        <f t="shared" si="14"/>
        <v>0</v>
      </c>
      <c r="BU730" s="182" t="str">
        <f t="shared" si="15"/>
        <v/>
      </c>
      <c r="BV730" s="2"/>
      <c r="BW730" s="2"/>
      <c r="BX730" s="2"/>
      <c r="BY730" s="2"/>
      <c r="BZ730" s="2"/>
      <c r="CA730" s="2"/>
      <c r="CB730" s="2"/>
      <c r="CC730" s="2"/>
      <c r="CE730" s="2"/>
      <c r="CF730" s="2"/>
      <c r="CG730" s="1292">
        <f t="shared" si="37"/>
        <v>0</v>
      </c>
      <c r="CH730" s="1294"/>
      <c r="CI730" s="1292">
        <f t="shared" si="38"/>
        <v>0</v>
      </c>
      <c r="CJ730" s="1294"/>
      <c r="CK730" s="1292">
        <f t="shared" si="16"/>
        <v>0</v>
      </c>
      <c r="CL730" s="1294"/>
      <c r="CM730" s="1292">
        <f t="shared" si="17"/>
        <v>0</v>
      </c>
      <c r="CN730" s="1294"/>
      <c r="CO730" s="2"/>
      <c r="CP730" s="1289">
        <f t="shared" si="18"/>
        <v>0</v>
      </c>
      <c r="CQ730" s="1290"/>
      <c r="CR730" s="1290"/>
      <c r="CS730" s="1290"/>
      <c r="CT730" s="1291"/>
      <c r="CU730" s="1305">
        <f t="shared" si="19"/>
        <v>0</v>
      </c>
      <c r="CV730" s="1305"/>
      <c r="CW730" s="1305"/>
      <c r="CX730" s="1305"/>
      <c r="CY730" s="1305"/>
      <c r="CZ730" s="1305">
        <f t="shared" si="20"/>
        <v>0</v>
      </c>
      <c r="DA730" s="1305"/>
      <c r="DB730" s="1305"/>
      <c r="DC730" s="1305"/>
      <c r="DD730" s="1305"/>
      <c r="DE730" s="1305">
        <f t="shared" si="21"/>
        <v>0</v>
      </c>
      <c r="DF730" s="1305"/>
      <c r="DG730" s="1305"/>
      <c r="DH730" s="1305"/>
      <c r="DI730" s="1305"/>
      <c r="DJ730" s="1305">
        <f t="shared" si="22"/>
        <v>0</v>
      </c>
      <c r="DK730" s="1305"/>
      <c r="DL730" s="1305"/>
      <c r="DM730" s="1305"/>
      <c r="DN730" s="1305"/>
      <c r="DO730" s="1305">
        <f t="shared" si="23"/>
        <v>0</v>
      </c>
      <c r="DP730" s="1305"/>
      <c r="DQ730" s="1305"/>
      <c r="DR730" s="1305"/>
      <c r="DS730" s="1305"/>
      <c r="DT730" s="1068"/>
      <c r="DU730" s="1319">
        <f t="shared" si="24"/>
        <v>0</v>
      </c>
      <c r="DV730" s="1319"/>
      <c r="DW730" s="1319"/>
      <c r="DX730" s="1319"/>
      <c r="DY730" s="1319"/>
      <c r="DZ730" s="1319">
        <f t="shared" si="25"/>
        <v>0</v>
      </c>
      <c r="EA730" s="1319"/>
      <c r="EB730" s="1319"/>
      <c r="EC730" s="1319"/>
      <c r="ED730" s="1319"/>
      <c r="EE730" s="1319">
        <f t="shared" si="26"/>
        <v>0</v>
      </c>
      <c r="EF730" s="1319"/>
      <c r="EG730" s="1319"/>
      <c r="EH730" s="1319"/>
      <c r="EI730" s="1319"/>
      <c r="EJ730" s="1319">
        <f t="shared" si="27"/>
        <v>0</v>
      </c>
      <c r="EK730" s="1319"/>
      <c r="EL730" s="1319"/>
      <c r="EM730" s="1319"/>
      <c r="EN730" s="1319"/>
      <c r="EO730" s="1319">
        <f t="shared" si="28"/>
        <v>0</v>
      </c>
      <c r="EP730" s="1319"/>
      <c r="EQ730" s="1319"/>
      <c r="ER730" s="1319"/>
      <c r="ES730" s="1319"/>
      <c r="ET730" s="1319">
        <f t="shared" si="29"/>
        <v>0</v>
      </c>
      <c r="EU730" s="1319"/>
      <c r="EV730" s="1319"/>
      <c r="EW730" s="1319"/>
      <c r="EX730" s="1319"/>
      <c r="EZ730" s="1292" t="str">
        <f t="shared" si="30"/>
        <v/>
      </c>
      <c r="FA730" s="1293"/>
      <c r="FB730" s="1293"/>
      <c r="FC730" s="1293"/>
      <c r="FD730" s="1294"/>
      <c r="FE730" s="1292" t="str">
        <f t="shared" si="31"/>
        <v/>
      </c>
      <c r="FF730" s="1293"/>
      <c r="FG730" s="1293"/>
      <c r="FH730" s="1293"/>
      <c r="FI730" s="1294"/>
      <c r="FJ730" s="1292" t="str">
        <f t="shared" si="32"/>
        <v/>
      </c>
      <c r="FK730" s="1293"/>
      <c r="FL730" s="1293"/>
      <c r="FM730" s="1293"/>
      <c r="FN730" s="1294"/>
      <c r="FO730" s="1292" t="str">
        <f t="shared" si="33"/>
        <v/>
      </c>
      <c r="FP730" s="1293"/>
      <c r="FQ730" s="1293"/>
      <c r="FR730" s="1293"/>
      <c r="FS730" s="1294"/>
      <c r="FT730" s="1292" t="str">
        <f t="shared" si="34"/>
        <v/>
      </c>
      <c r="FU730" s="1293"/>
      <c r="FV730" s="1293"/>
      <c r="FW730" s="1293"/>
      <c r="FX730" s="1294"/>
      <c r="FY730" s="1292" t="str">
        <f t="shared" si="35"/>
        <v/>
      </c>
      <c r="FZ730" s="1293"/>
      <c r="GA730" s="1293"/>
      <c r="GB730" s="1293"/>
      <c r="GC730" s="1294"/>
    </row>
    <row r="731" spans="1:185" ht="13" customHeight="1">
      <c r="B731" s="1306"/>
      <c r="C731" s="1307"/>
      <c r="D731" s="1307"/>
      <c r="E731" s="1307"/>
      <c r="F731" s="1308"/>
      <c r="G731" s="1315"/>
      <c r="H731" s="1316"/>
      <c r="I731" s="1316"/>
      <c r="J731" s="1317"/>
      <c r="K731" s="1538"/>
      <c r="L731" s="1539"/>
      <c r="M731" s="1539"/>
      <c r="N731" s="1540"/>
      <c r="O731" s="1404"/>
      <c r="P731" s="1405"/>
      <c r="Q731" s="1405"/>
      <c r="R731" s="1405"/>
      <c r="S731" s="1406"/>
      <c r="T731" s="1404"/>
      <c r="U731" s="1405"/>
      <c r="V731" s="1405"/>
      <c r="W731" s="1406"/>
      <c r="X731" s="1309">
        <f t="shared" si="8"/>
        <v>0</v>
      </c>
      <c r="Y731" s="1310"/>
      <c r="Z731" s="1310"/>
      <c r="AA731" s="1310"/>
      <c r="AB731" s="1311"/>
      <c r="AC731" s="1544"/>
      <c r="AD731" s="1545"/>
      <c r="AE731" s="1545"/>
      <c r="AF731" s="1545"/>
      <c r="AG731" s="1546"/>
      <c r="AH731" s="1312" t="str">
        <f t="shared" si="36"/>
        <v/>
      </c>
      <c r="AI731" s="1313"/>
      <c r="AJ731" s="1314"/>
      <c r="AK731" s="1306" t="s">
        <v>800</v>
      </c>
      <c r="AL731" s="1307"/>
      <c r="AM731" s="1307"/>
      <c r="AN731" s="1307"/>
      <c r="AO731" s="1308"/>
      <c r="AP731" s="2"/>
      <c r="AQ731" s="2"/>
      <c r="AR731" s="2"/>
      <c r="AS731" s="2"/>
      <c r="AY731" s="762"/>
      <c r="AZ731" s="68" t="str">
        <f t="shared" si="9"/>
        <v>N/A</v>
      </c>
      <c r="BA731" s="2"/>
      <c r="BB731" s="2"/>
      <c r="BC731" s="2"/>
      <c r="BD731" s="2"/>
      <c r="BE731" s="113"/>
      <c r="BF731" s="178">
        <f t="shared" si="10"/>
        <v>0</v>
      </c>
      <c r="BG731" s="181">
        <f t="shared" si="11"/>
        <v>0</v>
      </c>
      <c r="BH731" s="182" t="str">
        <f t="shared" si="12"/>
        <v/>
      </c>
      <c r="BI731" s="2"/>
      <c r="BJ731" s="2"/>
      <c r="BK731" s="2"/>
      <c r="BL731" s="2"/>
      <c r="BM731" s="2"/>
      <c r="BN731" s="2"/>
      <c r="BS731" s="178">
        <f t="shared" si="13"/>
        <v>0</v>
      </c>
      <c r="BT731" s="181">
        <f t="shared" si="14"/>
        <v>0</v>
      </c>
      <c r="BU731" s="182" t="str">
        <f t="shared" si="15"/>
        <v/>
      </c>
      <c r="BV731" s="2"/>
      <c r="BW731" s="2"/>
      <c r="BX731" s="2"/>
      <c r="BY731" s="2"/>
      <c r="BZ731" s="2"/>
      <c r="CA731" s="2"/>
      <c r="CB731" s="2"/>
      <c r="CC731" s="2"/>
      <c r="CE731" s="2"/>
      <c r="CF731" s="2"/>
      <c r="CG731" s="1292">
        <f t="shared" si="37"/>
        <v>0</v>
      </c>
      <c r="CH731" s="1294"/>
      <c r="CI731" s="1292">
        <f t="shared" si="38"/>
        <v>0</v>
      </c>
      <c r="CJ731" s="1294"/>
      <c r="CK731" s="1292">
        <f t="shared" si="16"/>
        <v>0</v>
      </c>
      <c r="CL731" s="1294"/>
      <c r="CM731" s="1292">
        <f t="shared" si="17"/>
        <v>0</v>
      </c>
      <c r="CN731" s="1294"/>
      <c r="CO731" s="2"/>
      <c r="CP731" s="1289">
        <f t="shared" si="18"/>
        <v>0</v>
      </c>
      <c r="CQ731" s="1290"/>
      <c r="CR731" s="1290"/>
      <c r="CS731" s="1290"/>
      <c r="CT731" s="1291"/>
      <c r="CU731" s="1305">
        <f t="shared" si="19"/>
        <v>0</v>
      </c>
      <c r="CV731" s="1305"/>
      <c r="CW731" s="1305"/>
      <c r="CX731" s="1305"/>
      <c r="CY731" s="1305"/>
      <c r="CZ731" s="1305">
        <f t="shared" si="20"/>
        <v>0</v>
      </c>
      <c r="DA731" s="1305"/>
      <c r="DB731" s="1305"/>
      <c r="DC731" s="1305"/>
      <c r="DD731" s="1305"/>
      <c r="DE731" s="1305">
        <f t="shared" si="21"/>
        <v>0</v>
      </c>
      <c r="DF731" s="1305"/>
      <c r="DG731" s="1305"/>
      <c r="DH731" s="1305"/>
      <c r="DI731" s="1305"/>
      <c r="DJ731" s="1305">
        <f t="shared" si="22"/>
        <v>0</v>
      </c>
      <c r="DK731" s="1305"/>
      <c r="DL731" s="1305"/>
      <c r="DM731" s="1305"/>
      <c r="DN731" s="1305"/>
      <c r="DO731" s="1305">
        <f t="shared" si="23"/>
        <v>0</v>
      </c>
      <c r="DP731" s="1305"/>
      <c r="DQ731" s="1305"/>
      <c r="DR731" s="1305"/>
      <c r="DS731" s="1305"/>
      <c r="DT731" s="1068"/>
      <c r="DU731" s="1319">
        <f t="shared" si="24"/>
        <v>0</v>
      </c>
      <c r="DV731" s="1319"/>
      <c r="DW731" s="1319"/>
      <c r="DX731" s="1319"/>
      <c r="DY731" s="1319"/>
      <c r="DZ731" s="1319">
        <f t="shared" si="25"/>
        <v>0</v>
      </c>
      <c r="EA731" s="1319"/>
      <c r="EB731" s="1319"/>
      <c r="EC731" s="1319"/>
      <c r="ED731" s="1319"/>
      <c r="EE731" s="1319">
        <f t="shared" si="26"/>
        <v>0</v>
      </c>
      <c r="EF731" s="1319"/>
      <c r="EG731" s="1319"/>
      <c r="EH731" s="1319"/>
      <c r="EI731" s="1319"/>
      <c r="EJ731" s="1319">
        <f t="shared" si="27"/>
        <v>0</v>
      </c>
      <c r="EK731" s="1319"/>
      <c r="EL731" s="1319"/>
      <c r="EM731" s="1319"/>
      <c r="EN731" s="1319"/>
      <c r="EO731" s="1319">
        <f t="shared" si="28"/>
        <v>0</v>
      </c>
      <c r="EP731" s="1319"/>
      <c r="EQ731" s="1319"/>
      <c r="ER731" s="1319"/>
      <c r="ES731" s="1319"/>
      <c r="ET731" s="1319">
        <f t="shared" si="29"/>
        <v>0</v>
      </c>
      <c r="EU731" s="1319"/>
      <c r="EV731" s="1319"/>
      <c r="EW731" s="1319"/>
      <c r="EX731" s="1319"/>
      <c r="EZ731" s="1292" t="str">
        <f t="shared" si="30"/>
        <v/>
      </c>
      <c r="FA731" s="1293"/>
      <c r="FB731" s="1293"/>
      <c r="FC731" s="1293"/>
      <c r="FD731" s="1294"/>
      <c r="FE731" s="1292" t="str">
        <f t="shared" si="31"/>
        <v/>
      </c>
      <c r="FF731" s="1293"/>
      <c r="FG731" s="1293"/>
      <c r="FH731" s="1293"/>
      <c r="FI731" s="1294"/>
      <c r="FJ731" s="1292" t="str">
        <f t="shared" si="32"/>
        <v/>
      </c>
      <c r="FK731" s="1293"/>
      <c r="FL731" s="1293"/>
      <c r="FM731" s="1293"/>
      <c r="FN731" s="1294"/>
      <c r="FO731" s="1292" t="str">
        <f t="shared" si="33"/>
        <v/>
      </c>
      <c r="FP731" s="1293"/>
      <c r="FQ731" s="1293"/>
      <c r="FR731" s="1293"/>
      <c r="FS731" s="1294"/>
      <c r="FT731" s="1292" t="str">
        <f t="shared" si="34"/>
        <v/>
      </c>
      <c r="FU731" s="1293"/>
      <c r="FV731" s="1293"/>
      <c r="FW731" s="1293"/>
      <c r="FX731" s="1294"/>
      <c r="FY731" s="1292" t="str">
        <f t="shared" si="35"/>
        <v/>
      </c>
      <c r="FZ731" s="1293"/>
      <c r="GA731" s="1293"/>
      <c r="GB731" s="1293"/>
      <c r="GC731" s="1294"/>
    </row>
    <row r="732" spans="1:185" ht="13" customHeight="1">
      <c r="B732" s="1306"/>
      <c r="C732" s="1307"/>
      <c r="D732" s="1307"/>
      <c r="E732" s="1307"/>
      <c r="F732" s="1308"/>
      <c r="G732" s="1315"/>
      <c r="H732" s="1316"/>
      <c r="I732" s="1316"/>
      <c r="J732" s="1317"/>
      <c r="K732" s="1538"/>
      <c r="L732" s="1539"/>
      <c r="M732" s="1539"/>
      <c r="N732" s="1540"/>
      <c r="O732" s="1404"/>
      <c r="P732" s="1405"/>
      <c r="Q732" s="1405"/>
      <c r="R732" s="1405"/>
      <c r="S732" s="1406"/>
      <c r="T732" s="1404"/>
      <c r="U732" s="1405"/>
      <c r="V732" s="1405"/>
      <c r="W732" s="1406"/>
      <c r="X732" s="1309">
        <f t="shared" si="8"/>
        <v>0</v>
      </c>
      <c r="Y732" s="1310"/>
      <c r="Z732" s="1310"/>
      <c r="AA732" s="1310"/>
      <c r="AB732" s="1311"/>
      <c r="AC732" s="1544"/>
      <c r="AD732" s="1545"/>
      <c r="AE732" s="1545"/>
      <c r="AF732" s="1545"/>
      <c r="AG732" s="1546"/>
      <c r="AH732" s="1312" t="str">
        <f t="shared" si="36"/>
        <v/>
      </c>
      <c r="AI732" s="1313"/>
      <c r="AJ732" s="1314"/>
      <c r="AK732" s="1306" t="s">
        <v>800</v>
      </c>
      <c r="AL732" s="1307"/>
      <c r="AM732" s="1307"/>
      <c r="AN732" s="1307"/>
      <c r="AO732" s="1308"/>
      <c r="AP732" s="2"/>
      <c r="AQ732" s="2"/>
      <c r="AR732" s="2"/>
      <c r="AS732" s="2"/>
      <c r="AY732" s="762"/>
      <c r="AZ732" s="68" t="str">
        <f t="shared" si="9"/>
        <v>N/A</v>
      </c>
      <c r="BA732" s="2"/>
      <c r="BB732" s="2"/>
      <c r="BC732" s="2"/>
      <c r="BD732" s="2"/>
      <c r="BE732" s="113"/>
      <c r="BF732" s="178">
        <f t="shared" si="10"/>
        <v>0</v>
      </c>
      <c r="BG732" s="181">
        <f t="shared" si="11"/>
        <v>0</v>
      </c>
      <c r="BH732" s="182" t="str">
        <f t="shared" si="12"/>
        <v/>
      </c>
      <c r="BI732" s="2"/>
      <c r="BJ732" s="2"/>
      <c r="BK732" s="2"/>
      <c r="BL732" s="2"/>
      <c r="BM732" s="2"/>
      <c r="BN732" s="2"/>
      <c r="BS732" s="178">
        <f t="shared" si="13"/>
        <v>0</v>
      </c>
      <c r="BT732" s="181">
        <f t="shared" si="14"/>
        <v>0</v>
      </c>
      <c r="BU732" s="182" t="str">
        <f t="shared" si="15"/>
        <v/>
      </c>
      <c r="BV732" s="2"/>
      <c r="BW732" s="2"/>
      <c r="BX732" s="2"/>
      <c r="BY732" s="2"/>
      <c r="BZ732" s="2"/>
      <c r="CA732" s="2"/>
      <c r="CB732" s="2"/>
      <c r="CC732" s="2"/>
      <c r="CE732" s="2"/>
      <c r="CF732" s="2"/>
      <c r="CG732" s="1292">
        <f t="shared" si="37"/>
        <v>0</v>
      </c>
      <c r="CH732" s="1294"/>
      <c r="CI732" s="1292">
        <f t="shared" si="38"/>
        <v>0</v>
      </c>
      <c r="CJ732" s="1294"/>
      <c r="CK732" s="1292">
        <f t="shared" si="16"/>
        <v>0</v>
      </c>
      <c r="CL732" s="1294"/>
      <c r="CM732" s="1292">
        <f t="shared" si="17"/>
        <v>0</v>
      </c>
      <c r="CN732" s="1294"/>
      <c r="CO732" s="2"/>
      <c r="CP732" s="1289">
        <f t="shared" si="18"/>
        <v>0</v>
      </c>
      <c r="CQ732" s="1290"/>
      <c r="CR732" s="1290"/>
      <c r="CS732" s="1290"/>
      <c r="CT732" s="1291"/>
      <c r="CU732" s="1305">
        <f t="shared" si="19"/>
        <v>0</v>
      </c>
      <c r="CV732" s="1305"/>
      <c r="CW732" s="1305"/>
      <c r="CX732" s="1305"/>
      <c r="CY732" s="1305"/>
      <c r="CZ732" s="1305">
        <f t="shared" si="20"/>
        <v>0</v>
      </c>
      <c r="DA732" s="1305"/>
      <c r="DB732" s="1305"/>
      <c r="DC732" s="1305"/>
      <c r="DD732" s="1305"/>
      <c r="DE732" s="1305">
        <f t="shared" si="21"/>
        <v>0</v>
      </c>
      <c r="DF732" s="1305"/>
      <c r="DG732" s="1305"/>
      <c r="DH732" s="1305"/>
      <c r="DI732" s="1305"/>
      <c r="DJ732" s="1305">
        <f t="shared" si="22"/>
        <v>0</v>
      </c>
      <c r="DK732" s="1305"/>
      <c r="DL732" s="1305"/>
      <c r="DM732" s="1305"/>
      <c r="DN732" s="1305"/>
      <c r="DO732" s="1305">
        <f t="shared" si="23"/>
        <v>0</v>
      </c>
      <c r="DP732" s="1305"/>
      <c r="DQ732" s="1305"/>
      <c r="DR732" s="1305"/>
      <c r="DS732" s="1305"/>
      <c r="DT732" s="1068"/>
      <c r="DU732" s="1319">
        <f t="shared" si="24"/>
        <v>0</v>
      </c>
      <c r="DV732" s="1319"/>
      <c r="DW732" s="1319"/>
      <c r="DX732" s="1319"/>
      <c r="DY732" s="1319"/>
      <c r="DZ732" s="1319">
        <f t="shared" si="25"/>
        <v>0</v>
      </c>
      <c r="EA732" s="1319"/>
      <c r="EB732" s="1319"/>
      <c r="EC732" s="1319"/>
      <c r="ED732" s="1319"/>
      <c r="EE732" s="1319">
        <f t="shared" si="26"/>
        <v>0</v>
      </c>
      <c r="EF732" s="1319"/>
      <c r="EG732" s="1319"/>
      <c r="EH732" s="1319"/>
      <c r="EI732" s="1319"/>
      <c r="EJ732" s="1319">
        <f t="shared" si="27"/>
        <v>0</v>
      </c>
      <c r="EK732" s="1319"/>
      <c r="EL732" s="1319"/>
      <c r="EM732" s="1319"/>
      <c r="EN732" s="1319"/>
      <c r="EO732" s="1319">
        <f t="shared" si="28"/>
        <v>0</v>
      </c>
      <c r="EP732" s="1319"/>
      <c r="EQ732" s="1319"/>
      <c r="ER732" s="1319"/>
      <c r="ES732" s="1319"/>
      <c r="ET732" s="1319">
        <f t="shared" si="29"/>
        <v>0</v>
      </c>
      <c r="EU732" s="1319"/>
      <c r="EV732" s="1319"/>
      <c r="EW732" s="1319"/>
      <c r="EX732" s="1319"/>
      <c r="EZ732" s="1292" t="str">
        <f t="shared" si="30"/>
        <v/>
      </c>
      <c r="FA732" s="1293"/>
      <c r="FB732" s="1293"/>
      <c r="FC732" s="1293"/>
      <c r="FD732" s="1294"/>
      <c r="FE732" s="1292" t="str">
        <f t="shared" si="31"/>
        <v/>
      </c>
      <c r="FF732" s="1293"/>
      <c r="FG732" s="1293"/>
      <c r="FH732" s="1293"/>
      <c r="FI732" s="1294"/>
      <c r="FJ732" s="1292" t="str">
        <f t="shared" si="32"/>
        <v/>
      </c>
      <c r="FK732" s="1293"/>
      <c r="FL732" s="1293"/>
      <c r="FM732" s="1293"/>
      <c r="FN732" s="1294"/>
      <c r="FO732" s="1292" t="str">
        <f t="shared" si="33"/>
        <v/>
      </c>
      <c r="FP732" s="1293"/>
      <c r="FQ732" s="1293"/>
      <c r="FR732" s="1293"/>
      <c r="FS732" s="1294"/>
      <c r="FT732" s="1292" t="str">
        <f t="shared" si="34"/>
        <v/>
      </c>
      <c r="FU732" s="1293"/>
      <c r="FV732" s="1293"/>
      <c r="FW732" s="1293"/>
      <c r="FX732" s="1294"/>
      <c r="FY732" s="1292" t="str">
        <f t="shared" si="35"/>
        <v/>
      </c>
      <c r="FZ732" s="1293"/>
      <c r="GA732" s="1293"/>
      <c r="GB732" s="1293"/>
      <c r="GC732" s="1294"/>
    </row>
    <row r="733" spans="1:185" ht="13" customHeight="1">
      <c r="B733" s="1306"/>
      <c r="C733" s="1307"/>
      <c r="D733" s="1307"/>
      <c r="E733" s="1307"/>
      <c r="F733" s="1308"/>
      <c r="G733" s="1315"/>
      <c r="H733" s="1316"/>
      <c r="I733" s="1316"/>
      <c r="J733" s="1317"/>
      <c r="K733" s="1538"/>
      <c r="L733" s="1539"/>
      <c r="M733" s="1539"/>
      <c r="N733" s="1540"/>
      <c r="O733" s="1404"/>
      <c r="P733" s="1405"/>
      <c r="Q733" s="1405"/>
      <c r="R733" s="1405"/>
      <c r="S733" s="1406"/>
      <c r="T733" s="1404"/>
      <c r="U733" s="1405"/>
      <c r="V733" s="1405"/>
      <c r="W733" s="1406"/>
      <c r="X733" s="1309">
        <f t="shared" si="8"/>
        <v>0</v>
      </c>
      <c r="Y733" s="1310"/>
      <c r="Z733" s="1310"/>
      <c r="AA733" s="1310"/>
      <c r="AB733" s="1311"/>
      <c r="AC733" s="1544"/>
      <c r="AD733" s="1545"/>
      <c r="AE733" s="1545"/>
      <c r="AF733" s="1545"/>
      <c r="AG733" s="1546"/>
      <c r="AH733" s="1312" t="str">
        <f t="shared" si="36"/>
        <v/>
      </c>
      <c r="AI733" s="1313"/>
      <c r="AJ733" s="1314"/>
      <c r="AK733" s="1306" t="s">
        <v>800</v>
      </c>
      <c r="AL733" s="1307"/>
      <c r="AM733" s="1307"/>
      <c r="AN733" s="1307"/>
      <c r="AO733" s="1308"/>
      <c r="AP733" s="2"/>
      <c r="AQ733" s="2"/>
      <c r="AR733" s="2"/>
      <c r="AS733" s="2"/>
      <c r="AY733" s="762"/>
      <c r="AZ733" s="68" t="str">
        <f t="shared" si="9"/>
        <v>N/A</v>
      </c>
      <c r="BA733" s="2"/>
      <c r="BB733" s="2"/>
      <c r="BC733" s="2"/>
      <c r="BD733" s="2"/>
      <c r="BE733" s="113"/>
      <c r="BF733" s="178">
        <f t="shared" si="10"/>
        <v>0</v>
      </c>
      <c r="BG733" s="181">
        <f t="shared" si="11"/>
        <v>0</v>
      </c>
      <c r="BH733" s="182" t="str">
        <f t="shared" si="12"/>
        <v/>
      </c>
      <c r="BI733" s="2"/>
      <c r="BJ733" s="2"/>
      <c r="BK733" s="2"/>
      <c r="BL733" s="2"/>
      <c r="BM733" s="2"/>
      <c r="BN733" s="2"/>
      <c r="BS733" s="178">
        <f t="shared" si="13"/>
        <v>0</v>
      </c>
      <c r="BT733" s="181">
        <f t="shared" si="14"/>
        <v>0</v>
      </c>
      <c r="BU733" s="182" t="str">
        <f t="shared" si="15"/>
        <v/>
      </c>
      <c r="BV733" s="2"/>
      <c r="BW733" s="2"/>
      <c r="BX733" s="2"/>
      <c r="BY733" s="2"/>
      <c r="BZ733" s="2"/>
      <c r="CA733" s="2"/>
      <c r="CB733" s="2"/>
      <c r="CC733" s="2"/>
      <c r="CE733" s="2"/>
      <c r="CF733" s="2"/>
      <c r="CG733" s="1292">
        <f t="shared" si="37"/>
        <v>0</v>
      </c>
      <c r="CH733" s="1294"/>
      <c r="CI733" s="1292">
        <f t="shared" si="38"/>
        <v>0</v>
      </c>
      <c r="CJ733" s="1294"/>
      <c r="CK733" s="1292">
        <f t="shared" si="16"/>
        <v>0</v>
      </c>
      <c r="CL733" s="1294"/>
      <c r="CM733" s="1292">
        <f t="shared" si="17"/>
        <v>0</v>
      </c>
      <c r="CN733" s="1294"/>
      <c r="CO733" s="2"/>
      <c r="CP733" s="1289">
        <f t="shared" si="18"/>
        <v>0</v>
      </c>
      <c r="CQ733" s="1290"/>
      <c r="CR733" s="1290"/>
      <c r="CS733" s="1290"/>
      <c r="CT733" s="1291"/>
      <c r="CU733" s="1305">
        <f t="shared" si="19"/>
        <v>0</v>
      </c>
      <c r="CV733" s="1305"/>
      <c r="CW733" s="1305"/>
      <c r="CX733" s="1305"/>
      <c r="CY733" s="1305"/>
      <c r="CZ733" s="1305">
        <f t="shared" si="20"/>
        <v>0</v>
      </c>
      <c r="DA733" s="1305"/>
      <c r="DB733" s="1305"/>
      <c r="DC733" s="1305"/>
      <c r="DD733" s="1305"/>
      <c r="DE733" s="1305">
        <f t="shared" si="21"/>
        <v>0</v>
      </c>
      <c r="DF733" s="1305"/>
      <c r="DG733" s="1305"/>
      <c r="DH733" s="1305"/>
      <c r="DI733" s="1305"/>
      <c r="DJ733" s="1305">
        <f t="shared" si="22"/>
        <v>0</v>
      </c>
      <c r="DK733" s="1305"/>
      <c r="DL733" s="1305"/>
      <c r="DM733" s="1305"/>
      <c r="DN733" s="1305"/>
      <c r="DO733" s="1305">
        <f t="shared" si="23"/>
        <v>0</v>
      </c>
      <c r="DP733" s="1305"/>
      <c r="DQ733" s="1305"/>
      <c r="DR733" s="1305"/>
      <c r="DS733" s="1305"/>
      <c r="DT733" s="1068"/>
      <c r="DU733" s="1319">
        <f t="shared" si="24"/>
        <v>0</v>
      </c>
      <c r="DV733" s="1319"/>
      <c r="DW733" s="1319"/>
      <c r="DX733" s="1319"/>
      <c r="DY733" s="1319"/>
      <c r="DZ733" s="1319">
        <f t="shared" si="25"/>
        <v>0</v>
      </c>
      <c r="EA733" s="1319"/>
      <c r="EB733" s="1319"/>
      <c r="EC733" s="1319"/>
      <c r="ED733" s="1319"/>
      <c r="EE733" s="1319">
        <f t="shared" si="26"/>
        <v>0</v>
      </c>
      <c r="EF733" s="1319"/>
      <c r="EG733" s="1319"/>
      <c r="EH733" s="1319"/>
      <c r="EI733" s="1319"/>
      <c r="EJ733" s="1319">
        <f t="shared" si="27"/>
        <v>0</v>
      </c>
      <c r="EK733" s="1319"/>
      <c r="EL733" s="1319"/>
      <c r="EM733" s="1319"/>
      <c r="EN733" s="1319"/>
      <c r="EO733" s="1319">
        <f t="shared" si="28"/>
        <v>0</v>
      </c>
      <c r="EP733" s="1319"/>
      <c r="EQ733" s="1319"/>
      <c r="ER733" s="1319"/>
      <c r="ES733" s="1319"/>
      <c r="ET733" s="1319">
        <f t="shared" si="29"/>
        <v>0</v>
      </c>
      <c r="EU733" s="1319"/>
      <c r="EV733" s="1319"/>
      <c r="EW733" s="1319"/>
      <c r="EX733" s="1319"/>
      <c r="EZ733" s="1292" t="str">
        <f t="shared" si="30"/>
        <v/>
      </c>
      <c r="FA733" s="1293"/>
      <c r="FB733" s="1293"/>
      <c r="FC733" s="1293"/>
      <c r="FD733" s="1294"/>
      <c r="FE733" s="1292" t="str">
        <f t="shared" si="31"/>
        <v/>
      </c>
      <c r="FF733" s="1293"/>
      <c r="FG733" s="1293"/>
      <c r="FH733" s="1293"/>
      <c r="FI733" s="1294"/>
      <c r="FJ733" s="1292" t="str">
        <f t="shared" si="32"/>
        <v/>
      </c>
      <c r="FK733" s="1293"/>
      <c r="FL733" s="1293"/>
      <c r="FM733" s="1293"/>
      <c r="FN733" s="1294"/>
      <c r="FO733" s="1292" t="str">
        <f t="shared" si="33"/>
        <v/>
      </c>
      <c r="FP733" s="1293"/>
      <c r="FQ733" s="1293"/>
      <c r="FR733" s="1293"/>
      <c r="FS733" s="1294"/>
      <c r="FT733" s="1292" t="str">
        <f t="shared" si="34"/>
        <v/>
      </c>
      <c r="FU733" s="1293"/>
      <c r="FV733" s="1293"/>
      <c r="FW733" s="1293"/>
      <c r="FX733" s="1294"/>
      <c r="FY733" s="1292" t="str">
        <f t="shared" si="35"/>
        <v/>
      </c>
      <c r="FZ733" s="1293"/>
      <c r="GA733" s="1293"/>
      <c r="GB733" s="1293"/>
      <c r="GC733" s="1294"/>
    </row>
    <row r="734" spans="1:185" ht="13" customHeight="1">
      <c r="B734" s="1306"/>
      <c r="C734" s="1307"/>
      <c r="D734" s="1307"/>
      <c r="E734" s="1307"/>
      <c r="F734" s="1308"/>
      <c r="G734" s="1315"/>
      <c r="H734" s="1316"/>
      <c r="I734" s="1316"/>
      <c r="J734" s="1317"/>
      <c r="K734" s="1538"/>
      <c r="L734" s="1539"/>
      <c r="M734" s="1539"/>
      <c r="N734" s="1540"/>
      <c r="O734" s="1404"/>
      <c r="P734" s="1405"/>
      <c r="Q734" s="1405"/>
      <c r="R734" s="1405"/>
      <c r="S734" s="1406"/>
      <c r="T734" s="1404"/>
      <c r="U734" s="1405"/>
      <c r="V734" s="1405"/>
      <c r="W734" s="1406"/>
      <c r="X734" s="1309">
        <f t="shared" si="8"/>
        <v>0</v>
      </c>
      <c r="Y734" s="1310"/>
      <c r="Z734" s="1310"/>
      <c r="AA734" s="1310"/>
      <c r="AB734" s="1311"/>
      <c r="AC734" s="1544"/>
      <c r="AD734" s="1545"/>
      <c r="AE734" s="1545"/>
      <c r="AF734" s="1545"/>
      <c r="AG734" s="1546"/>
      <c r="AH734" s="1312" t="str">
        <f t="shared" si="36"/>
        <v/>
      </c>
      <c r="AI734" s="1313"/>
      <c r="AJ734" s="1314"/>
      <c r="AK734" s="1306" t="s">
        <v>800</v>
      </c>
      <c r="AL734" s="1307"/>
      <c r="AM734" s="1307"/>
      <c r="AN734" s="1307"/>
      <c r="AO734" s="1308"/>
      <c r="AP734" s="2"/>
      <c r="AQ734" s="2"/>
      <c r="AR734" s="2"/>
      <c r="AS734" s="2"/>
      <c r="AY734" s="762"/>
      <c r="AZ734" s="68" t="str">
        <f t="shared" si="9"/>
        <v>N/A</v>
      </c>
      <c r="BA734" s="2"/>
      <c r="BB734" s="2"/>
      <c r="BC734" s="2"/>
      <c r="BD734" s="2"/>
      <c r="BE734" s="113"/>
      <c r="BF734" s="178">
        <f t="shared" si="10"/>
        <v>0</v>
      </c>
      <c r="BG734" s="181">
        <f t="shared" si="11"/>
        <v>0</v>
      </c>
      <c r="BH734" s="182" t="str">
        <f t="shared" si="12"/>
        <v/>
      </c>
      <c r="BI734" s="2"/>
      <c r="BJ734" s="2"/>
      <c r="BK734" s="2"/>
      <c r="BL734" s="2"/>
      <c r="BM734" s="2"/>
      <c r="BN734" s="2"/>
      <c r="BS734" s="178">
        <f t="shared" si="13"/>
        <v>0</v>
      </c>
      <c r="BT734" s="181">
        <f t="shared" si="14"/>
        <v>0</v>
      </c>
      <c r="BU734" s="182" t="str">
        <f t="shared" si="15"/>
        <v/>
      </c>
      <c r="BV734" s="2"/>
      <c r="BW734" s="2"/>
      <c r="BX734" s="2"/>
      <c r="BY734" s="2"/>
      <c r="BZ734" s="2"/>
      <c r="CA734" s="2"/>
      <c r="CB734" s="2"/>
      <c r="CC734" s="2"/>
      <c r="CE734" s="2"/>
      <c r="CF734" s="2"/>
      <c r="CG734" s="1292">
        <f t="shared" si="37"/>
        <v>0</v>
      </c>
      <c r="CH734" s="1294"/>
      <c r="CI734" s="1292">
        <f t="shared" si="38"/>
        <v>0</v>
      </c>
      <c r="CJ734" s="1294"/>
      <c r="CK734" s="1292">
        <f t="shared" si="16"/>
        <v>0</v>
      </c>
      <c r="CL734" s="1294"/>
      <c r="CM734" s="1292">
        <f t="shared" si="17"/>
        <v>0</v>
      </c>
      <c r="CN734" s="1294"/>
      <c r="CO734" s="2"/>
      <c r="CP734" s="1289">
        <f t="shared" si="18"/>
        <v>0</v>
      </c>
      <c r="CQ734" s="1290"/>
      <c r="CR734" s="1290"/>
      <c r="CS734" s="1290"/>
      <c r="CT734" s="1291"/>
      <c r="CU734" s="1305">
        <f t="shared" si="19"/>
        <v>0</v>
      </c>
      <c r="CV734" s="1305"/>
      <c r="CW734" s="1305"/>
      <c r="CX734" s="1305"/>
      <c r="CY734" s="1305"/>
      <c r="CZ734" s="1305">
        <f t="shared" si="20"/>
        <v>0</v>
      </c>
      <c r="DA734" s="1305"/>
      <c r="DB734" s="1305"/>
      <c r="DC734" s="1305"/>
      <c r="DD734" s="1305"/>
      <c r="DE734" s="1305">
        <f t="shared" si="21"/>
        <v>0</v>
      </c>
      <c r="DF734" s="1305"/>
      <c r="DG734" s="1305"/>
      <c r="DH734" s="1305"/>
      <c r="DI734" s="1305"/>
      <c r="DJ734" s="1305">
        <f t="shared" si="22"/>
        <v>0</v>
      </c>
      <c r="DK734" s="1305"/>
      <c r="DL734" s="1305"/>
      <c r="DM734" s="1305"/>
      <c r="DN734" s="1305"/>
      <c r="DO734" s="1305">
        <f t="shared" si="23"/>
        <v>0</v>
      </c>
      <c r="DP734" s="1305"/>
      <c r="DQ734" s="1305"/>
      <c r="DR734" s="1305"/>
      <c r="DS734" s="1305"/>
      <c r="DT734" s="1068"/>
      <c r="DU734" s="1319">
        <f t="shared" si="24"/>
        <v>0</v>
      </c>
      <c r="DV734" s="1319"/>
      <c r="DW734" s="1319"/>
      <c r="DX734" s="1319"/>
      <c r="DY734" s="1319"/>
      <c r="DZ734" s="1319">
        <f t="shared" si="25"/>
        <v>0</v>
      </c>
      <c r="EA734" s="1319"/>
      <c r="EB734" s="1319"/>
      <c r="EC734" s="1319"/>
      <c r="ED734" s="1319"/>
      <c r="EE734" s="1319">
        <f t="shared" si="26"/>
        <v>0</v>
      </c>
      <c r="EF734" s="1319"/>
      <c r="EG734" s="1319"/>
      <c r="EH734" s="1319"/>
      <c r="EI734" s="1319"/>
      <c r="EJ734" s="1319">
        <f t="shared" si="27"/>
        <v>0</v>
      </c>
      <c r="EK734" s="1319"/>
      <c r="EL734" s="1319"/>
      <c r="EM734" s="1319"/>
      <c r="EN734" s="1319"/>
      <c r="EO734" s="1319">
        <f t="shared" si="28"/>
        <v>0</v>
      </c>
      <c r="EP734" s="1319"/>
      <c r="EQ734" s="1319"/>
      <c r="ER734" s="1319"/>
      <c r="ES734" s="1319"/>
      <c r="ET734" s="1319">
        <f t="shared" si="29"/>
        <v>0</v>
      </c>
      <c r="EU734" s="1319"/>
      <c r="EV734" s="1319"/>
      <c r="EW734" s="1319"/>
      <c r="EX734" s="1319"/>
      <c r="EZ734" s="1292" t="str">
        <f t="shared" si="30"/>
        <v/>
      </c>
      <c r="FA734" s="1293"/>
      <c r="FB734" s="1293"/>
      <c r="FC734" s="1293"/>
      <c r="FD734" s="1294"/>
      <c r="FE734" s="1292" t="str">
        <f t="shared" si="31"/>
        <v/>
      </c>
      <c r="FF734" s="1293"/>
      <c r="FG734" s="1293"/>
      <c r="FH734" s="1293"/>
      <c r="FI734" s="1294"/>
      <c r="FJ734" s="1292" t="str">
        <f t="shared" si="32"/>
        <v/>
      </c>
      <c r="FK734" s="1293"/>
      <c r="FL734" s="1293"/>
      <c r="FM734" s="1293"/>
      <c r="FN734" s="1294"/>
      <c r="FO734" s="1292" t="str">
        <f t="shared" si="33"/>
        <v/>
      </c>
      <c r="FP734" s="1293"/>
      <c r="FQ734" s="1293"/>
      <c r="FR734" s="1293"/>
      <c r="FS734" s="1294"/>
      <c r="FT734" s="1292" t="str">
        <f t="shared" si="34"/>
        <v/>
      </c>
      <c r="FU734" s="1293"/>
      <c r="FV734" s="1293"/>
      <c r="FW734" s="1293"/>
      <c r="FX734" s="1294"/>
      <c r="FY734" s="1292" t="str">
        <f t="shared" si="35"/>
        <v/>
      </c>
      <c r="FZ734" s="1293"/>
      <c r="GA734" s="1293"/>
      <c r="GB734" s="1293"/>
      <c r="GC734" s="1294"/>
    </row>
    <row r="735" spans="1:185" ht="13" customHeight="1">
      <c r="B735" s="1306"/>
      <c r="C735" s="1307"/>
      <c r="D735" s="1307"/>
      <c r="E735" s="1307"/>
      <c r="F735" s="1308"/>
      <c r="G735" s="1315"/>
      <c r="H735" s="1316"/>
      <c r="I735" s="1316"/>
      <c r="J735" s="1317"/>
      <c r="K735" s="1538"/>
      <c r="L735" s="1539"/>
      <c r="M735" s="1539"/>
      <c r="N735" s="1540"/>
      <c r="O735" s="1404"/>
      <c r="P735" s="1405"/>
      <c r="Q735" s="1405"/>
      <c r="R735" s="1405"/>
      <c r="S735" s="1406"/>
      <c r="T735" s="1404"/>
      <c r="U735" s="1405"/>
      <c r="V735" s="1405"/>
      <c r="W735" s="1406"/>
      <c r="X735" s="1309">
        <f t="shared" si="8"/>
        <v>0</v>
      </c>
      <c r="Y735" s="1310"/>
      <c r="Z735" s="1310"/>
      <c r="AA735" s="1310"/>
      <c r="AB735" s="1311"/>
      <c r="AC735" s="1544"/>
      <c r="AD735" s="1545"/>
      <c r="AE735" s="1545"/>
      <c r="AF735" s="1545"/>
      <c r="AG735" s="1546"/>
      <c r="AH735" s="1312" t="str">
        <f t="shared" si="36"/>
        <v/>
      </c>
      <c r="AI735" s="1313"/>
      <c r="AJ735" s="1314"/>
      <c r="AK735" s="1306" t="s">
        <v>800</v>
      </c>
      <c r="AL735" s="1307"/>
      <c r="AM735" s="1307"/>
      <c r="AN735" s="1307"/>
      <c r="AO735" s="1308"/>
      <c r="AP735" s="2"/>
      <c r="AQ735" s="2"/>
      <c r="AR735" s="2"/>
      <c r="AS735" s="2"/>
      <c r="AY735" s="762"/>
      <c r="AZ735" s="68" t="str">
        <f t="shared" si="9"/>
        <v>N/A</v>
      </c>
      <c r="BA735" s="2"/>
      <c r="BB735" s="2"/>
      <c r="BC735" s="2"/>
      <c r="BD735" s="2"/>
      <c r="BE735" s="113"/>
      <c r="BF735" s="178">
        <f t="shared" si="10"/>
        <v>0</v>
      </c>
      <c r="BG735" s="181">
        <f t="shared" si="11"/>
        <v>0</v>
      </c>
      <c r="BH735" s="182" t="str">
        <f t="shared" si="12"/>
        <v/>
      </c>
      <c r="BI735" s="2"/>
      <c r="BJ735" s="2"/>
      <c r="BK735" s="2"/>
      <c r="BL735" s="2"/>
      <c r="BM735" s="2"/>
      <c r="BN735" s="2"/>
      <c r="BS735" s="178">
        <f t="shared" si="13"/>
        <v>0</v>
      </c>
      <c r="BT735" s="181">
        <f t="shared" si="14"/>
        <v>0</v>
      </c>
      <c r="BU735" s="182" t="str">
        <f t="shared" si="15"/>
        <v/>
      </c>
      <c r="BV735" s="2"/>
      <c r="BW735" s="2"/>
      <c r="BX735" s="2"/>
      <c r="BY735" s="2"/>
      <c r="BZ735" s="2"/>
      <c r="CA735" s="2"/>
      <c r="CB735" s="2"/>
      <c r="CC735" s="2"/>
      <c r="CE735" s="2"/>
      <c r="CF735" s="2"/>
      <c r="CG735" s="1292">
        <f t="shared" si="37"/>
        <v>0</v>
      </c>
      <c r="CH735" s="1294"/>
      <c r="CI735" s="1292">
        <f t="shared" si="38"/>
        <v>0</v>
      </c>
      <c r="CJ735" s="1294"/>
      <c r="CK735" s="1292">
        <f t="shared" si="16"/>
        <v>0</v>
      </c>
      <c r="CL735" s="1294"/>
      <c r="CM735" s="1292">
        <f t="shared" si="17"/>
        <v>0</v>
      </c>
      <c r="CN735" s="1294"/>
      <c r="CO735" s="2"/>
      <c r="CP735" s="1289">
        <f t="shared" si="18"/>
        <v>0</v>
      </c>
      <c r="CQ735" s="1290"/>
      <c r="CR735" s="1290"/>
      <c r="CS735" s="1290"/>
      <c r="CT735" s="1291"/>
      <c r="CU735" s="1305">
        <f t="shared" si="19"/>
        <v>0</v>
      </c>
      <c r="CV735" s="1305"/>
      <c r="CW735" s="1305"/>
      <c r="CX735" s="1305"/>
      <c r="CY735" s="1305"/>
      <c r="CZ735" s="1305">
        <f t="shared" si="20"/>
        <v>0</v>
      </c>
      <c r="DA735" s="1305"/>
      <c r="DB735" s="1305"/>
      <c r="DC735" s="1305"/>
      <c r="DD735" s="1305"/>
      <c r="DE735" s="1305">
        <f t="shared" si="21"/>
        <v>0</v>
      </c>
      <c r="DF735" s="1305"/>
      <c r="DG735" s="1305"/>
      <c r="DH735" s="1305"/>
      <c r="DI735" s="1305"/>
      <c r="DJ735" s="1305">
        <f t="shared" si="22"/>
        <v>0</v>
      </c>
      <c r="DK735" s="1305"/>
      <c r="DL735" s="1305"/>
      <c r="DM735" s="1305"/>
      <c r="DN735" s="1305"/>
      <c r="DO735" s="1305">
        <f t="shared" si="23"/>
        <v>0</v>
      </c>
      <c r="DP735" s="1305"/>
      <c r="DQ735" s="1305"/>
      <c r="DR735" s="1305"/>
      <c r="DS735" s="1305"/>
      <c r="DT735" s="1068"/>
      <c r="DU735" s="1319">
        <f t="shared" si="24"/>
        <v>0</v>
      </c>
      <c r="DV735" s="1319"/>
      <c r="DW735" s="1319"/>
      <c r="DX735" s="1319"/>
      <c r="DY735" s="1319"/>
      <c r="DZ735" s="1319">
        <f t="shared" si="25"/>
        <v>0</v>
      </c>
      <c r="EA735" s="1319"/>
      <c r="EB735" s="1319"/>
      <c r="EC735" s="1319"/>
      <c r="ED735" s="1319"/>
      <c r="EE735" s="1319">
        <f t="shared" si="26"/>
        <v>0</v>
      </c>
      <c r="EF735" s="1319"/>
      <c r="EG735" s="1319"/>
      <c r="EH735" s="1319"/>
      <c r="EI735" s="1319"/>
      <c r="EJ735" s="1319">
        <f t="shared" si="27"/>
        <v>0</v>
      </c>
      <c r="EK735" s="1319"/>
      <c r="EL735" s="1319"/>
      <c r="EM735" s="1319"/>
      <c r="EN735" s="1319"/>
      <c r="EO735" s="1319">
        <f t="shared" si="28"/>
        <v>0</v>
      </c>
      <c r="EP735" s="1319"/>
      <c r="EQ735" s="1319"/>
      <c r="ER735" s="1319"/>
      <c r="ES735" s="1319"/>
      <c r="ET735" s="1319">
        <f t="shared" si="29"/>
        <v>0</v>
      </c>
      <c r="EU735" s="1319"/>
      <c r="EV735" s="1319"/>
      <c r="EW735" s="1319"/>
      <c r="EX735" s="1319"/>
      <c r="EZ735" s="1292" t="str">
        <f t="shared" si="30"/>
        <v/>
      </c>
      <c r="FA735" s="1293"/>
      <c r="FB735" s="1293"/>
      <c r="FC735" s="1293"/>
      <c r="FD735" s="1294"/>
      <c r="FE735" s="1292" t="str">
        <f t="shared" si="31"/>
        <v/>
      </c>
      <c r="FF735" s="1293"/>
      <c r="FG735" s="1293"/>
      <c r="FH735" s="1293"/>
      <c r="FI735" s="1294"/>
      <c r="FJ735" s="1292" t="str">
        <f t="shared" si="32"/>
        <v/>
      </c>
      <c r="FK735" s="1293"/>
      <c r="FL735" s="1293"/>
      <c r="FM735" s="1293"/>
      <c r="FN735" s="1294"/>
      <c r="FO735" s="1292" t="str">
        <f t="shared" si="33"/>
        <v/>
      </c>
      <c r="FP735" s="1293"/>
      <c r="FQ735" s="1293"/>
      <c r="FR735" s="1293"/>
      <c r="FS735" s="1294"/>
      <c r="FT735" s="1292" t="str">
        <f t="shared" si="34"/>
        <v/>
      </c>
      <c r="FU735" s="1293"/>
      <c r="FV735" s="1293"/>
      <c r="FW735" s="1293"/>
      <c r="FX735" s="1294"/>
      <c r="FY735" s="1292" t="str">
        <f t="shared" si="35"/>
        <v/>
      </c>
      <c r="FZ735" s="1293"/>
      <c r="GA735" s="1293"/>
      <c r="GB735" s="1293"/>
      <c r="GC735" s="1294"/>
    </row>
    <row r="736" spans="1:185" ht="13" customHeight="1">
      <c r="B736" s="1306"/>
      <c r="C736" s="1307"/>
      <c r="D736" s="1307"/>
      <c r="E736" s="1307"/>
      <c r="F736" s="1308"/>
      <c r="G736" s="1315"/>
      <c r="H736" s="1316"/>
      <c r="I736" s="1316"/>
      <c r="J736" s="1317"/>
      <c r="K736" s="1538"/>
      <c r="L736" s="1539"/>
      <c r="M736" s="1539"/>
      <c r="N736" s="1540"/>
      <c r="O736" s="1404"/>
      <c r="P736" s="1405"/>
      <c r="Q736" s="1405"/>
      <c r="R736" s="1405"/>
      <c r="S736" s="1406"/>
      <c r="T736" s="1404"/>
      <c r="U736" s="1405"/>
      <c r="V736" s="1405"/>
      <c r="W736" s="1406"/>
      <c r="X736" s="1309">
        <f t="shared" si="8"/>
        <v>0</v>
      </c>
      <c r="Y736" s="1310"/>
      <c r="Z736" s="1310"/>
      <c r="AA736" s="1310"/>
      <c r="AB736" s="1311"/>
      <c r="AC736" s="1544"/>
      <c r="AD736" s="1545"/>
      <c r="AE736" s="1545"/>
      <c r="AF736" s="1545"/>
      <c r="AG736" s="1546"/>
      <c r="AH736" s="1312" t="str">
        <f t="shared" si="36"/>
        <v/>
      </c>
      <c r="AI736" s="1313"/>
      <c r="AJ736" s="1314"/>
      <c r="AK736" s="1306" t="s">
        <v>800</v>
      </c>
      <c r="AL736" s="1307"/>
      <c r="AM736" s="1307"/>
      <c r="AN736" s="1307"/>
      <c r="AO736" s="1308"/>
      <c r="AP736" s="2"/>
      <c r="AQ736" s="2"/>
      <c r="AR736" s="2"/>
      <c r="AS736" s="2"/>
      <c r="AY736" s="762"/>
      <c r="AZ736" s="68" t="str">
        <f t="shared" si="9"/>
        <v>N/A</v>
      </c>
      <c r="BA736" s="2"/>
      <c r="BB736" s="2"/>
      <c r="BC736" s="2"/>
      <c r="BD736" s="2"/>
      <c r="BE736" s="113"/>
      <c r="BF736" s="178">
        <f t="shared" si="10"/>
        <v>0</v>
      </c>
      <c r="BG736" s="181">
        <f t="shared" si="11"/>
        <v>0</v>
      </c>
      <c r="BH736" s="182" t="str">
        <f t="shared" si="12"/>
        <v/>
      </c>
      <c r="BI736" s="2"/>
      <c r="BJ736" s="2"/>
      <c r="BK736" s="2"/>
      <c r="BL736" s="2"/>
      <c r="BM736" s="2"/>
      <c r="BN736" s="2"/>
      <c r="BS736" s="178">
        <f t="shared" si="13"/>
        <v>0</v>
      </c>
      <c r="BT736" s="181">
        <f t="shared" si="14"/>
        <v>0</v>
      </c>
      <c r="BU736" s="182" t="str">
        <f t="shared" si="15"/>
        <v/>
      </c>
      <c r="BV736" s="2"/>
      <c r="BW736" s="2"/>
      <c r="BX736" s="2"/>
      <c r="BY736" s="2"/>
      <c r="BZ736" s="2"/>
      <c r="CA736" s="2"/>
      <c r="CB736" s="2"/>
      <c r="CC736" s="2"/>
      <c r="CE736" s="2"/>
      <c r="CF736" s="2"/>
      <c r="CG736" s="1292">
        <f t="shared" si="37"/>
        <v>0</v>
      </c>
      <c r="CH736" s="1294"/>
      <c r="CI736" s="1292">
        <f t="shared" si="38"/>
        <v>0</v>
      </c>
      <c r="CJ736" s="1294"/>
      <c r="CK736" s="1292">
        <f t="shared" si="16"/>
        <v>0</v>
      </c>
      <c r="CL736" s="1294"/>
      <c r="CM736" s="1292">
        <f t="shared" si="17"/>
        <v>0</v>
      </c>
      <c r="CN736" s="1294"/>
      <c r="CO736" s="2"/>
      <c r="CP736" s="1289">
        <f t="shared" si="18"/>
        <v>0</v>
      </c>
      <c r="CQ736" s="1290"/>
      <c r="CR736" s="1290"/>
      <c r="CS736" s="1290"/>
      <c r="CT736" s="1291"/>
      <c r="CU736" s="1305">
        <f t="shared" si="19"/>
        <v>0</v>
      </c>
      <c r="CV736" s="1305"/>
      <c r="CW736" s="1305"/>
      <c r="CX736" s="1305"/>
      <c r="CY736" s="1305"/>
      <c r="CZ736" s="1305">
        <f t="shared" si="20"/>
        <v>0</v>
      </c>
      <c r="DA736" s="1305"/>
      <c r="DB736" s="1305"/>
      <c r="DC736" s="1305"/>
      <c r="DD736" s="1305"/>
      <c r="DE736" s="1305">
        <f t="shared" si="21"/>
        <v>0</v>
      </c>
      <c r="DF736" s="1305"/>
      <c r="DG736" s="1305"/>
      <c r="DH736" s="1305"/>
      <c r="DI736" s="1305"/>
      <c r="DJ736" s="1305">
        <f t="shared" si="22"/>
        <v>0</v>
      </c>
      <c r="DK736" s="1305"/>
      <c r="DL736" s="1305"/>
      <c r="DM736" s="1305"/>
      <c r="DN736" s="1305"/>
      <c r="DO736" s="1305">
        <f t="shared" si="23"/>
        <v>0</v>
      </c>
      <c r="DP736" s="1305"/>
      <c r="DQ736" s="1305"/>
      <c r="DR736" s="1305"/>
      <c r="DS736" s="1305"/>
      <c r="DT736" s="1068"/>
      <c r="DU736" s="1319">
        <f t="shared" si="24"/>
        <v>0</v>
      </c>
      <c r="DV736" s="1319"/>
      <c r="DW736" s="1319"/>
      <c r="DX736" s="1319"/>
      <c r="DY736" s="1319"/>
      <c r="DZ736" s="1319">
        <f t="shared" si="25"/>
        <v>0</v>
      </c>
      <c r="EA736" s="1319"/>
      <c r="EB736" s="1319"/>
      <c r="EC736" s="1319"/>
      <c r="ED736" s="1319"/>
      <c r="EE736" s="1319">
        <f t="shared" si="26"/>
        <v>0</v>
      </c>
      <c r="EF736" s="1319"/>
      <c r="EG736" s="1319"/>
      <c r="EH736" s="1319"/>
      <c r="EI736" s="1319"/>
      <c r="EJ736" s="1319">
        <f t="shared" si="27"/>
        <v>0</v>
      </c>
      <c r="EK736" s="1319"/>
      <c r="EL736" s="1319"/>
      <c r="EM736" s="1319"/>
      <c r="EN736" s="1319"/>
      <c r="EO736" s="1319">
        <f t="shared" si="28"/>
        <v>0</v>
      </c>
      <c r="EP736" s="1319"/>
      <c r="EQ736" s="1319"/>
      <c r="ER736" s="1319"/>
      <c r="ES736" s="1319"/>
      <c r="ET736" s="1319">
        <f t="shared" si="29"/>
        <v>0</v>
      </c>
      <c r="EU736" s="1319"/>
      <c r="EV736" s="1319"/>
      <c r="EW736" s="1319"/>
      <c r="EX736" s="1319"/>
      <c r="EZ736" s="1292" t="str">
        <f t="shared" si="30"/>
        <v/>
      </c>
      <c r="FA736" s="1293"/>
      <c r="FB736" s="1293"/>
      <c r="FC736" s="1293"/>
      <c r="FD736" s="1294"/>
      <c r="FE736" s="1292" t="str">
        <f t="shared" si="31"/>
        <v/>
      </c>
      <c r="FF736" s="1293"/>
      <c r="FG736" s="1293"/>
      <c r="FH736" s="1293"/>
      <c r="FI736" s="1294"/>
      <c r="FJ736" s="1292" t="str">
        <f t="shared" si="32"/>
        <v/>
      </c>
      <c r="FK736" s="1293"/>
      <c r="FL736" s="1293"/>
      <c r="FM736" s="1293"/>
      <c r="FN736" s="1294"/>
      <c r="FO736" s="1292" t="str">
        <f t="shared" si="33"/>
        <v/>
      </c>
      <c r="FP736" s="1293"/>
      <c r="FQ736" s="1293"/>
      <c r="FR736" s="1293"/>
      <c r="FS736" s="1294"/>
      <c r="FT736" s="1292" t="str">
        <f t="shared" si="34"/>
        <v/>
      </c>
      <c r="FU736" s="1293"/>
      <c r="FV736" s="1293"/>
      <c r="FW736" s="1293"/>
      <c r="FX736" s="1294"/>
      <c r="FY736" s="1292" t="str">
        <f t="shared" si="35"/>
        <v/>
      </c>
      <c r="FZ736" s="1293"/>
      <c r="GA736" s="1293"/>
      <c r="GB736" s="1293"/>
      <c r="GC736" s="1294"/>
    </row>
    <row r="737" spans="1:185" ht="13" customHeight="1">
      <c r="B737" s="1306"/>
      <c r="C737" s="1307"/>
      <c r="D737" s="1307"/>
      <c r="E737" s="1307"/>
      <c r="F737" s="1308"/>
      <c r="G737" s="1315"/>
      <c r="H737" s="1316"/>
      <c r="I737" s="1316"/>
      <c r="J737" s="1317"/>
      <c r="K737" s="1538"/>
      <c r="L737" s="1539"/>
      <c r="M737" s="1539"/>
      <c r="N737" s="1540"/>
      <c r="O737" s="1404"/>
      <c r="P737" s="1405"/>
      <c r="Q737" s="1405"/>
      <c r="R737" s="1405"/>
      <c r="S737" s="1406"/>
      <c r="T737" s="1404"/>
      <c r="U737" s="1405"/>
      <c r="V737" s="1405"/>
      <c r="W737" s="1406"/>
      <c r="X737" s="1309">
        <f t="shared" si="8"/>
        <v>0</v>
      </c>
      <c r="Y737" s="1310"/>
      <c r="Z737" s="1310"/>
      <c r="AA737" s="1310"/>
      <c r="AB737" s="1311"/>
      <c r="AC737" s="1544"/>
      <c r="AD737" s="1545"/>
      <c r="AE737" s="1545"/>
      <c r="AF737" s="1545"/>
      <c r="AG737" s="1546"/>
      <c r="AH737" s="1312" t="str">
        <f t="shared" si="36"/>
        <v/>
      </c>
      <c r="AI737" s="1313"/>
      <c r="AJ737" s="1314"/>
      <c r="AK737" s="1306" t="s">
        <v>800</v>
      </c>
      <c r="AL737" s="1307"/>
      <c r="AM737" s="1307"/>
      <c r="AN737" s="1307"/>
      <c r="AO737" s="1308"/>
      <c r="AP737" s="2"/>
      <c r="AQ737" s="2"/>
      <c r="AR737" s="2"/>
      <c r="AS737" s="2"/>
      <c r="AY737" s="762"/>
      <c r="AZ737" s="68" t="str">
        <f t="shared" si="9"/>
        <v>N/A</v>
      </c>
      <c r="BA737" s="2"/>
      <c r="BB737" s="2"/>
      <c r="BC737" s="2"/>
      <c r="BD737" s="2"/>
      <c r="BE737" s="113"/>
      <c r="BF737" s="178">
        <f t="shared" si="10"/>
        <v>0</v>
      </c>
      <c r="BG737" s="181">
        <f t="shared" si="11"/>
        <v>0</v>
      </c>
      <c r="BH737" s="182" t="str">
        <f t="shared" si="12"/>
        <v/>
      </c>
      <c r="BI737" s="2"/>
      <c r="BJ737" s="2"/>
      <c r="BK737" s="2"/>
      <c r="BL737" s="2"/>
      <c r="BM737" s="2"/>
      <c r="BN737" s="2"/>
      <c r="BS737" s="178">
        <f t="shared" si="13"/>
        <v>0</v>
      </c>
      <c r="BT737" s="181">
        <f t="shared" si="14"/>
        <v>0</v>
      </c>
      <c r="BU737" s="182" t="str">
        <f t="shared" si="15"/>
        <v/>
      </c>
      <c r="BV737" s="2"/>
      <c r="BW737" s="2"/>
      <c r="BX737" s="2"/>
      <c r="BY737" s="2"/>
      <c r="BZ737" s="2"/>
      <c r="CA737" s="2"/>
      <c r="CB737" s="2"/>
      <c r="CC737" s="2"/>
      <c r="CE737" s="2"/>
      <c r="CF737" s="2"/>
      <c r="CG737" s="1292">
        <f t="shared" si="37"/>
        <v>0</v>
      </c>
      <c r="CH737" s="1294"/>
      <c r="CI737" s="1292">
        <f t="shared" si="38"/>
        <v>0</v>
      </c>
      <c r="CJ737" s="1294"/>
      <c r="CK737" s="1292">
        <f t="shared" si="16"/>
        <v>0</v>
      </c>
      <c r="CL737" s="1294"/>
      <c r="CM737" s="1292">
        <f t="shared" si="17"/>
        <v>0</v>
      </c>
      <c r="CN737" s="1294"/>
      <c r="CO737" s="2"/>
      <c r="CP737" s="1289">
        <f t="shared" si="18"/>
        <v>0</v>
      </c>
      <c r="CQ737" s="1290"/>
      <c r="CR737" s="1290"/>
      <c r="CS737" s="1290"/>
      <c r="CT737" s="1291"/>
      <c r="CU737" s="1305">
        <f t="shared" si="19"/>
        <v>0</v>
      </c>
      <c r="CV737" s="1305"/>
      <c r="CW737" s="1305"/>
      <c r="CX737" s="1305"/>
      <c r="CY737" s="1305"/>
      <c r="CZ737" s="1305">
        <f t="shared" si="20"/>
        <v>0</v>
      </c>
      <c r="DA737" s="1305"/>
      <c r="DB737" s="1305"/>
      <c r="DC737" s="1305"/>
      <c r="DD737" s="1305"/>
      <c r="DE737" s="1305">
        <f t="shared" si="21"/>
        <v>0</v>
      </c>
      <c r="DF737" s="1305"/>
      <c r="DG737" s="1305"/>
      <c r="DH737" s="1305"/>
      <c r="DI737" s="1305"/>
      <c r="DJ737" s="1305">
        <f t="shared" si="22"/>
        <v>0</v>
      </c>
      <c r="DK737" s="1305"/>
      <c r="DL737" s="1305"/>
      <c r="DM737" s="1305"/>
      <c r="DN737" s="1305"/>
      <c r="DO737" s="1305">
        <f t="shared" si="23"/>
        <v>0</v>
      </c>
      <c r="DP737" s="1305"/>
      <c r="DQ737" s="1305"/>
      <c r="DR737" s="1305"/>
      <c r="DS737" s="1305"/>
      <c r="DT737" s="1068"/>
      <c r="DU737" s="1319">
        <f t="shared" si="24"/>
        <v>0</v>
      </c>
      <c r="DV737" s="1319"/>
      <c r="DW737" s="1319"/>
      <c r="DX737" s="1319"/>
      <c r="DY737" s="1319"/>
      <c r="DZ737" s="1319">
        <f t="shared" si="25"/>
        <v>0</v>
      </c>
      <c r="EA737" s="1319"/>
      <c r="EB737" s="1319"/>
      <c r="EC737" s="1319"/>
      <c r="ED737" s="1319"/>
      <c r="EE737" s="1319">
        <f t="shared" si="26"/>
        <v>0</v>
      </c>
      <c r="EF737" s="1319"/>
      <c r="EG737" s="1319"/>
      <c r="EH737" s="1319"/>
      <c r="EI737" s="1319"/>
      <c r="EJ737" s="1319">
        <f t="shared" si="27"/>
        <v>0</v>
      </c>
      <c r="EK737" s="1319"/>
      <c r="EL737" s="1319"/>
      <c r="EM737" s="1319"/>
      <c r="EN737" s="1319"/>
      <c r="EO737" s="1319">
        <f t="shared" si="28"/>
        <v>0</v>
      </c>
      <c r="EP737" s="1319"/>
      <c r="EQ737" s="1319"/>
      <c r="ER737" s="1319"/>
      <c r="ES737" s="1319"/>
      <c r="ET737" s="1319">
        <f t="shared" si="29"/>
        <v>0</v>
      </c>
      <c r="EU737" s="1319"/>
      <c r="EV737" s="1319"/>
      <c r="EW737" s="1319"/>
      <c r="EX737" s="1319"/>
      <c r="EZ737" s="1292" t="str">
        <f t="shared" si="30"/>
        <v/>
      </c>
      <c r="FA737" s="1293"/>
      <c r="FB737" s="1293"/>
      <c r="FC737" s="1293"/>
      <c r="FD737" s="1294"/>
      <c r="FE737" s="1292" t="str">
        <f t="shared" si="31"/>
        <v/>
      </c>
      <c r="FF737" s="1293"/>
      <c r="FG737" s="1293"/>
      <c r="FH737" s="1293"/>
      <c r="FI737" s="1294"/>
      <c r="FJ737" s="1292" t="str">
        <f t="shared" si="32"/>
        <v/>
      </c>
      <c r="FK737" s="1293"/>
      <c r="FL737" s="1293"/>
      <c r="FM737" s="1293"/>
      <c r="FN737" s="1294"/>
      <c r="FO737" s="1292" t="str">
        <f t="shared" si="33"/>
        <v/>
      </c>
      <c r="FP737" s="1293"/>
      <c r="FQ737" s="1293"/>
      <c r="FR737" s="1293"/>
      <c r="FS737" s="1294"/>
      <c r="FT737" s="1292" t="str">
        <f t="shared" si="34"/>
        <v/>
      </c>
      <c r="FU737" s="1293"/>
      <c r="FV737" s="1293"/>
      <c r="FW737" s="1293"/>
      <c r="FX737" s="1294"/>
      <c r="FY737" s="1292" t="str">
        <f t="shared" si="35"/>
        <v/>
      </c>
      <c r="FZ737" s="1293"/>
      <c r="GA737" s="1293"/>
      <c r="GB737" s="1293"/>
      <c r="GC737" s="1294"/>
    </row>
    <row r="738" spans="1:185" ht="13" customHeight="1">
      <c r="B738" s="1306"/>
      <c r="C738" s="1307"/>
      <c r="D738" s="1307"/>
      <c r="E738" s="1307"/>
      <c r="F738" s="1308"/>
      <c r="G738" s="1315"/>
      <c r="H738" s="1316"/>
      <c r="I738" s="1316"/>
      <c r="J738" s="1317"/>
      <c r="K738" s="1538"/>
      <c r="L738" s="1539"/>
      <c r="M738" s="1539"/>
      <c r="N738" s="1540"/>
      <c r="O738" s="1404"/>
      <c r="P738" s="1405"/>
      <c r="Q738" s="1405"/>
      <c r="R738" s="1405"/>
      <c r="S738" s="1406"/>
      <c r="T738" s="1404"/>
      <c r="U738" s="1405"/>
      <c r="V738" s="1405"/>
      <c r="W738" s="1406"/>
      <c r="X738" s="1309">
        <f t="shared" si="8"/>
        <v>0</v>
      </c>
      <c r="Y738" s="1310"/>
      <c r="Z738" s="1310"/>
      <c r="AA738" s="1310"/>
      <c r="AB738" s="1311"/>
      <c r="AC738" s="1544"/>
      <c r="AD738" s="1545"/>
      <c r="AE738" s="1545"/>
      <c r="AF738" s="1545"/>
      <c r="AG738" s="1546"/>
      <c r="AH738" s="1312" t="str">
        <f t="shared" si="36"/>
        <v/>
      </c>
      <c r="AI738" s="1313"/>
      <c r="AJ738" s="1314"/>
      <c r="AK738" s="1306" t="s">
        <v>800</v>
      </c>
      <c r="AL738" s="1307"/>
      <c r="AM738" s="1307"/>
      <c r="AN738" s="1307"/>
      <c r="AO738" s="1308"/>
      <c r="AP738" s="2"/>
      <c r="AQ738" s="2"/>
      <c r="AR738" s="2"/>
      <c r="AS738" s="2"/>
      <c r="AY738" s="762"/>
      <c r="AZ738" s="68" t="str">
        <f t="shared" si="9"/>
        <v>N/A</v>
      </c>
      <c r="BA738" s="2"/>
      <c r="BE738" s="113"/>
      <c r="BF738" s="178">
        <f t="shared" si="10"/>
        <v>0</v>
      </c>
      <c r="BG738" s="181">
        <f t="shared" si="11"/>
        <v>0</v>
      </c>
      <c r="BH738" s="182" t="str">
        <f t="shared" si="12"/>
        <v/>
      </c>
      <c r="BK738" s="2"/>
      <c r="BL738" s="2"/>
      <c r="BM738" s="2"/>
      <c r="BN738" s="2"/>
      <c r="BS738" s="178">
        <f t="shared" si="13"/>
        <v>0</v>
      </c>
      <c r="BT738" s="181">
        <f t="shared" si="14"/>
        <v>0</v>
      </c>
      <c r="BU738" s="182" t="str">
        <f t="shared" si="15"/>
        <v/>
      </c>
      <c r="BV738" s="2"/>
      <c r="BW738" s="2"/>
      <c r="BX738" s="2"/>
      <c r="BY738" s="2"/>
      <c r="BZ738" s="2"/>
      <c r="CA738" s="2"/>
      <c r="CB738" s="2"/>
      <c r="CC738" s="2"/>
      <c r="CE738" s="2"/>
      <c r="CF738" s="2"/>
      <c r="CG738" s="1292">
        <f t="shared" si="37"/>
        <v>0</v>
      </c>
      <c r="CH738" s="1294"/>
      <c r="CI738" s="1292">
        <f t="shared" si="38"/>
        <v>0</v>
      </c>
      <c r="CJ738" s="1294"/>
      <c r="CK738" s="1292">
        <f t="shared" si="16"/>
        <v>0</v>
      </c>
      <c r="CL738" s="1294"/>
      <c r="CM738" s="1292">
        <f t="shared" si="17"/>
        <v>0</v>
      </c>
      <c r="CN738" s="1294"/>
      <c r="CO738" s="2"/>
      <c r="CP738" s="1289">
        <f t="shared" si="18"/>
        <v>0</v>
      </c>
      <c r="CQ738" s="1290"/>
      <c r="CR738" s="1290"/>
      <c r="CS738" s="1290"/>
      <c r="CT738" s="1291"/>
      <c r="CU738" s="1305">
        <f t="shared" si="19"/>
        <v>0</v>
      </c>
      <c r="CV738" s="1305"/>
      <c r="CW738" s="1305"/>
      <c r="CX738" s="1305"/>
      <c r="CY738" s="1305"/>
      <c r="CZ738" s="1305">
        <f t="shared" si="20"/>
        <v>0</v>
      </c>
      <c r="DA738" s="1305"/>
      <c r="DB738" s="1305"/>
      <c r="DC738" s="1305"/>
      <c r="DD738" s="1305"/>
      <c r="DE738" s="1305">
        <f t="shared" si="21"/>
        <v>0</v>
      </c>
      <c r="DF738" s="1305"/>
      <c r="DG738" s="1305"/>
      <c r="DH738" s="1305"/>
      <c r="DI738" s="1305"/>
      <c r="DJ738" s="1305">
        <f t="shared" si="22"/>
        <v>0</v>
      </c>
      <c r="DK738" s="1305"/>
      <c r="DL738" s="1305"/>
      <c r="DM738" s="1305"/>
      <c r="DN738" s="1305"/>
      <c r="DO738" s="1305">
        <f t="shared" si="23"/>
        <v>0</v>
      </c>
      <c r="DP738" s="1305"/>
      <c r="DQ738" s="1305"/>
      <c r="DR738" s="1305"/>
      <c r="DS738" s="1305"/>
      <c r="DT738" s="1068"/>
      <c r="DU738" s="1319">
        <f t="shared" si="24"/>
        <v>0</v>
      </c>
      <c r="DV738" s="1319"/>
      <c r="DW738" s="1319"/>
      <c r="DX738" s="1319"/>
      <c r="DY738" s="1319"/>
      <c r="DZ738" s="1319">
        <f t="shared" si="25"/>
        <v>0</v>
      </c>
      <c r="EA738" s="1319"/>
      <c r="EB738" s="1319"/>
      <c r="EC738" s="1319"/>
      <c r="ED738" s="1319"/>
      <c r="EE738" s="1319">
        <f t="shared" si="26"/>
        <v>0</v>
      </c>
      <c r="EF738" s="1319"/>
      <c r="EG738" s="1319"/>
      <c r="EH738" s="1319"/>
      <c r="EI738" s="1319"/>
      <c r="EJ738" s="1319">
        <f t="shared" si="27"/>
        <v>0</v>
      </c>
      <c r="EK738" s="1319"/>
      <c r="EL738" s="1319"/>
      <c r="EM738" s="1319"/>
      <c r="EN738" s="1319"/>
      <c r="EO738" s="1319">
        <f t="shared" si="28"/>
        <v>0</v>
      </c>
      <c r="EP738" s="1319"/>
      <c r="EQ738" s="1319"/>
      <c r="ER738" s="1319"/>
      <c r="ES738" s="1319"/>
      <c r="ET738" s="1319">
        <f t="shared" si="29"/>
        <v>0</v>
      </c>
      <c r="EU738" s="1319"/>
      <c r="EV738" s="1319"/>
      <c r="EW738" s="1319"/>
      <c r="EX738" s="1319"/>
      <c r="EZ738" s="1292" t="str">
        <f t="shared" si="30"/>
        <v/>
      </c>
      <c r="FA738" s="1293"/>
      <c r="FB738" s="1293"/>
      <c r="FC738" s="1293"/>
      <c r="FD738" s="1294"/>
      <c r="FE738" s="1292" t="str">
        <f t="shared" si="31"/>
        <v/>
      </c>
      <c r="FF738" s="1293"/>
      <c r="FG738" s="1293"/>
      <c r="FH738" s="1293"/>
      <c r="FI738" s="1294"/>
      <c r="FJ738" s="1292" t="str">
        <f t="shared" si="32"/>
        <v/>
      </c>
      <c r="FK738" s="1293"/>
      <c r="FL738" s="1293"/>
      <c r="FM738" s="1293"/>
      <c r="FN738" s="1294"/>
      <c r="FO738" s="1292" t="str">
        <f t="shared" si="33"/>
        <v/>
      </c>
      <c r="FP738" s="1293"/>
      <c r="FQ738" s="1293"/>
      <c r="FR738" s="1293"/>
      <c r="FS738" s="1294"/>
      <c r="FT738" s="1292" t="str">
        <f t="shared" si="34"/>
        <v/>
      </c>
      <c r="FU738" s="1293"/>
      <c r="FV738" s="1293"/>
      <c r="FW738" s="1293"/>
      <c r="FX738" s="1294"/>
      <c r="FY738" s="1292" t="str">
        <f t="shared" si="35"/>
        <v/>
      </c>
      <c r="FZ738" s="1293"/>
      <c r="GA738" s="1293"/>
      <c r="GB738" s="1293"/>
      <c r="GC738" s="1294"/>
    </row>
    <row r="739" spans="1:185" ht="13" customHeight="1">
      <c r="B739" s="1306"/>
      <c r="C739" s="1307"/>
      <c r="D739" s="1307"/>
      <c r="E739" s="1307"/>
      <c r="F739" s="1308"/>
      <c r="G739" s="1315"/>
      <c r="H739" s="1316"/>
      <c r="I739" s="1316"/>
      <c r="J739" s="1317"/>
      <c r="K739" s="1538"/>
      <c r="L739" s="1539"/>
      <c r="M739" s="1539"/>
      <c r="N739" s="1540"/>
      <c r="O739" s="1404"/>
      <c r="P739" s="1405"/>
      <c r="Q739" s="1405"/>
      <c r="R739" s="1405"/>
      <c r="S739" s="1406"/>
      <c r="T739" s="1404"/>
      <c r="U739" s="1405"/>
      <c r="V739" s="1405"/>
      <c r="W739" s="1406"/>
      <c r="X739" s="1309">
        <f t="shared" si="8"/>
        <v>0</v>
      </c>
      <c r="Y739" s="1310"/>
      <c r="Z739" s="1310"/>
      <c r="AA739" s="1310"/>
      <c r="AB739" s="1311"/>
      <c r="AC739" s="1544"/>
      <c r="AD739" s="1545"/>
      <c r="AE739" s="1545"/>
      <c r="AF739" s="1545"/>
      <c r="AG739" s="1546"/>
      <c r="AH739" s="1312" t="str">
        <f t="shared" si="36"/>
        <v/>
      </c>
      <c r="AI739" s="1313"/>
      <c r="AJ739" s="1314"/>
      <c r="AK739" s="1306" t="s">
        <v>800</v>
      </c>
      <c r="AL739" s="1307"/>
      <c r="AM739" s="1307"/>
      <c r="AN739" s="1307"/>
      <c r="AO739" s="1308"/>
      <c r="AP739" s="2"/>
      <c r="AQ739" s="2"/>
      <c r="AR739" s="2"/>
      <c r="AS739" s="2"/>
      <c r="AY739" s="762"/>
      <c r="AZ739" s="68" t="str">
        <f t="shared" si="9"/>
        <v>N/A</v>
      </c>
      <c r="BA739" s="2"/>
      <c r="BE739" s="113"/>
      <c r="BF739" s="178">
        <f t="shared" si="10"/>
        <v>0</v>
      </c>
      <c r="BG739" s="181">
        <f t="shared" si="11"/>
        <v>0</v>
      </c>
      <c r="BH739" s="182" t="str">
        <f t="shared" si="12"/>
        <v/>
      </c>
      <c r="BK739" s="2"/>
      <c r="BL739" s="2"/>
      <c r="BM739" s="2"/>
      <c r="BN739" s="2"/>
      <c r="BS739" s="178">
        <f t="shared" si="13"/>
        <v>0</v>
      </c>
      <c r="BT739" s="181">
        <f t="shared" si="14"/>
        <v>0</v>
      </c>
      <c r="BU739" s="182" t="str">
        <f t="shared" si="15"/>
        <v/>
      </c>
      <c r="BV739" s="2"/>
      <c r="BW739" s="2"/>
      <c r="BX739" s="2"/>
      <c r="BY739" s="2"/>
      <c r="BZ739" s="2"/>
      <c r="CA739" s="2"/>
      <c r="CB739" s="2"/>
      <c r="CC739" s="2"/>
      <c r="CE739" s="2"/>
      <c r="CF739" s="2"/>
      <c r="CG739" s="1292">
        <f t="shared" si="37"/>
        <v>0</v>
      </c>
      <c r="CH739" s="1294"/>
      <c r="CI739" s="1292">
        <f t="shared" si="38"/>
        <v>0</v>
      </c>
      <c r="CJ739" s="1294"/>
      <c r="CK739" s="1292">
        <f t="shared" si="16"/>
        <v>0</v>
      </c>
      <c r="CL739" s="1294"/>
      <c r="CM739" s="1292">
        <f t="shared" si="17"/>
        <v>0</v>
      </c>
      <c r="CN739" s="1294"/>
      <c r="CO739" s="2"/>
      <c r="CP739" s="1289">
        <f t="shared" si="18"/>
        <v>0</v>
      </c>
      <c r="CQ739" s="1290"/>
      <c r="CR739" s="1290"/>
      <c r="CS739" s="1290"/>
      <c r="CT739" s="1291"/>
      <c r="CU739" s="1305">
        <f t="shared" si="19"/>
        <v>0</v>
      </c>
      <c r="CV739" s="1305"/>
      <c r="CW739" s="1305"/>
      <c r="CX739" s="1305"/>
      <c r="CY739" s="1305"/>
      <c r="CZ739" s="1305">
        <f t="shared" si="20"/>
        <v>0</v>
      </c>
      <c r="DA739" s="1305"/>
      <c r="DB739" s="1305"/>
      <c r="DC739" s="1305"/>
      <c r="DD739" s="1305"/>
      <c r="DE739" s="1305">
        <f t="shared" si="21"/>
        <v>0</v>
      </c>
      <c r="DF739" s="1305"/>
      <c r="DG739" s="1305"/>
      <c r="DH739" s="1305"/>
      <c r="DI739" s="1305"/>
      <c r="DJ739" s="1305">
        <f t="shared" si="22"/>
        <v>0</v>
      </c>
      <c r="DK739" s="1305"/>
      <c r="DL739" s="1305"/>
      <c r="DM739" s="1305"/>
      <c r="DN739" s="1305"/>
      <c r="DO739" s="1305">
        <f t="shared" si="23"/>
        <v>0</v>
      </c>
      <c r="DP739" s="1305"/>
      <c r="DQ739" s="1305"/>
      <c r="DR739" s="1305"/>
      <c r="DS739" s="1305"/>
      <c r="DT739" s="1068"/>
      <c r="DU739" s="1319">
        <f t="shared" si="24"/>
        <v>0</v>
      </c>
      <c r="DV739" s="1319"/>
      <c r="DW739" s="1319"/>
      <c r="DX739" s="1319"/>
      <c r="DY739" s="1319"/>
      <c r="DZ739" s="1319">
        <f t="shared" si="25"/>
        <v>0</v>
      </c>
      <c r="EA739" s="1319"/>
      <c r="EB739" s="1319"/>
      <c r="EC739" s="1319"/>
      <c r="ED739" s="1319"/>
      <c r="EE739" s="1319">
        <f t="shared" si="26"/>
        <v>0</v>
      </c>
      <c r="EF739" s="1319"/>
      <c r="EG739" s="1319"/>
      <c r="EH739" s="1319"/>
      <c r="EI739" s="1319"/>
      <c r="EJ739" s="1319">
        <f t="shared" si="27"/>
        <v>0</v>
      </c>
      <c r="EK739" s="1319"/>
      <c r="EL739" s="1319"/>
      <c r="EM739" s="1319"/>
      <c r="EN739" s="1319"/>
      <c r="EO739" s="1319">
        <f t="shared" si="28"/>
        <v>0</v>
      </c>
      <c r="EP739" s="1319"/>
      <c r="EQ739" s="1319"/>
      <c r="ER739" s="1319"/>
      <c r="ES739" s="1319"/>
      <c r="ET739" s="1319">
        <f t="shared" si="29"/>
        <v>0</v>
      </c>
      <c r="EU739" s="1319"/>
      <c r="EV739" s="1319"/>
      <c r="EW739" s="1319"/>
      <c r="EX739" s="1319"/>
      <c r="EZ739" s="1292" t="str">
        <f t="shared" si="30"/>
        <v/>
      </c>
      <c r="FA739" s="1293"/>
      <c r="FB739" s="1293"/>
      <c r="FC739" s="1293"/>
      <c r="FD739" s="1294"/>
      <c r="FE739" s="1292" t="str">
        <f t="shared" si="31"/>
        <v/>
      </c>
      <c r="FF739" s="1293"/>
      <c r="FG739" s="1293"/>
      <c r="FH739" s="1293"/>
      <c r="FI739" s="1294"/>
      <c r="FJ739" s="1292" t="str">
        <f t="shared" si="32"/>
        <v/>
      </c>
      <c r="FK739" s="1293"/>
      <c r="FL739" s="1293"/>
      <c r="FM739" s="1293"/>
      <c r="FN739" s="1294"/>
      <c r="FO739" s="1292" t="str">
        <f t="shared" si="33"/>
        <v/>
      </c>
      <c r="FP739" s="1293"/>
      <c r="FQ739" s="1293"/>
      <c r="FR739" s="1293"/>
      <c r="FS739" s="1294"/>
      <c r="FT739" s="1292" t="str">
        <f t="shared" si="34"/>
        <v/>
      </c>
      <c r="FU739" s="1293"/>
      <c r="FV739" s="1293"/>
      <c r="FW739" s="1293"/>
      <c r="FX739" s="1294"/>
      <c r="FY739" s="1292" t="str">
        <f t="shared" si="35"/>
        <v/>
      </c>
      <c r="FZ739" s="1293"/>
      <c r="GA739" s="1293"/>
      <c r="GB739" s="1293"/>
      <c r="GC739" s="1294"/>
    </row>
    <row r="740" spans="1:185" ht="13" customHeight="1">
      <c r="B740" s="1306"/>
      <c r="C740" s="1307"/>
      <c r="D740" s="1307"/>
      <c r="E740" s="1307"/>
      <c r="F740" s="1308"/>
      <c r="G740" s="1315"/>
      <c r="H740" s="1316"/>
      <c r="I740" s="1316"/>
      <c r="J740" s="1317"/>
      <c r="K740" s="1538"/>
      <c r="L740" s="1539"/>
      <c r="M740" s="1539"/>
      <c r="N740" s="1540"/>
      <c r="O740" s="1404"/>
      <c r="P740" s="1405"/>
      <c r="Q740" s="1405"/>
      <c r="R740" s="1405"/>
      <c r="S740" s="1406"/>
      <c r="T740" s="1404"/>
      <c r="U740" s="1405"/>
      <c r="V740" s="1405"/>
      <c r="W740" s="1406"/>
      <c r="X740" s="1309">
        <f t="shared" si="8"/>
        <v>0</v>
      </c>
      <c r="Y740" s="1310"/>
      <c r="Z740" s="1310"/>
      <c r="AA740" s="1310"/>
      <c r="AB740" s="1311"/>
      <c r="AC740" s="1544"/>
      <c r="AD740" s="1545"/>
      <c r="AE740" s="1545"/>
      <c r="AF740" s="1545"/>
      <c r="AG740" s="1546"/>
      <c r="AH740" s="1312" t="str">
        <f t="shared" si="36"/>
        <v/>
      </c>
      <c r="AI740" s="1313"/>
      <c r="AJ740" s="1314"/>
      <c r="AK740" s="1306" t="s">
        <v>800</v>
      </c>
      <c r="AL740" s="1307"/>
      <c r="AM740" s="1307"/>
      <c r="AN740" s="1307"/>
      <c r="AO740" s="1308"/>
      <c r="AP740" s="2"/>
      <c r="AQ740" s="2"/>
      <c r="AR740" s="2"/>
      <c r="AS740" s="2"/>
      <c r="AY740" s="762"/>
      <c r="AZ740" s="68" t="str">
        <f t="shared" si="9"/>
        <v>N/A</v>
      </c>
      <c r="BA740" s="2"/>
      <c r="BE740" s="113"/>
      <c r="BF740" s="178">
        <f t="shared" si="10"/>
        <v>0</v>
      </c>
      <c r="BG740" s="181">
        <f t="shared" si="11"/>
        <v>0</v>
      </c>
      <c r="BH740" s="182" t="str">
        <f t="shared" si="12"/>
        <v/>
      </c>
      <c r="BK740" s="2"/>
      <c r="BL740" s="2"/>
      <c r="BM740" s="2"/>
      <c r="BN740" s="2"/>
      <c r="BS740" s="178">
        <f t="shared" si="13"/>
        <v>0</v>
      </c>
      <c r="BT740" s="181">
        <f t="shared" si="14"/>
        <v>0</v>
      </c>
      <c r="BU740" s="182" t="str">
        <f t="shared" si="15"/>
        <v/>
      </c>
      <c r="BV740" s="2"/>
      <c r="BW740" s="2"/>
      <c r="BX740" s="2"/>
      <c r="BY740" s="2"/>
      <c r="BZ740" s="2"/>
      <c r="CA740" s="2"/>
      <c r="CB740" s="2"/>
      <c r="CC740" s="2"/>
      <c r="CE740" s="2"/>
      <c r="CF740" s="2"/>
      <c r="CG740" s="1292">
        <f t="shared" si="37"/>
        <v>0</v>
      </c>
      <c r="CH740" s="1294"/>
      <c r="CI740" s="1292">
        <f t="shared" si="38"/>
        <v>0</v>
      </c>
      <c r="CJ740" s="1294"/>
      <c r="CK740" s="1292">
        <f t="shared" si="16"/>
        <v>0</v>
      </c>
      <c r="CL740" s="1294"/>
      <c r="CM740" s="1292">
        <f t="shared" si="17"/>
        <v>0</v>
      </c>
      <c r="CN740" s="1294"/>
      <c r="CO740" s="2"/>
      <c r="CP740" s="1289">
        <f t="shared" si="18"/>
        <v>0</v>
      </c>
      <c r="CQ740" s="1290"/>
      <c r="CR740" s="1290"/>
      <c r="CS740" s="1290"/>
      <c r="CT740" s="1291"/>
      <c r="CU740" s="1305">
        <f t="shared" si="19"/>
        <v>0</v>
      </c>
      <c r="CV740" s="1305"/>
      <c r="CW740" s="1305"/>
      <c r="CX740" s="1305"/>
      <c r="CY740" s="1305"/>
      <c r="CZ740" s="1305">
        <f t="shared" si="20"/>
        <v>0</v>
      </c>
      <c r="DA740" s="1305"/>
      <c r="DB740" s="1305"/>
      <c r="DC740" s="1305"/>
      <c r="DD740" s="1305"/>
      <c r="DE740" s="1305">
        <f t="shared" si="21"/>
        <v>0</v>
      </c>
      <c r="DF740" s="1305"/>
      <c r="DG740" s="1305"/>
      <c r="DH740" s="1305"/>
      <c r="DI740" s="1305"/>
      <c r="DJ740" s="1305">
        <f t="shared" si="22"/>
        <v>0</v>
      </c>
      <c r="DK740" s="1305"/>
      <c r="DL740" s="1305"/>
      <c r="DM740" s="1305"/>
      <c r="DN740" s="1305"/>
      <c r="DO740" s="1305">
        <f t="shared" si="23"/>
        <v>0</v>
      </c>
      <c r="DP740" s="1305"/>
      <c r="DQ740" s="1305"/>
      <c r="DR740" s="1305"/>
      <c r="DS740" s="1305"/>
      <c r="DT740" s="1068"/>
      <c r="DU740" s="1319">
        <f t="shared" si="24"/>
        <v>0</v>
      </c>
      <c r="DV740" s="1319"/>
      <c r="DW740" s="1319"/>
      <c r="DX740" s="1319"/>
      <c r="DY740" s="1319"/>
      <c r="DZ740" s="1319">
        <f t="shared" si="25"/>
        <v>0</v>
      </c>
      <c r="EA740" s="1319"/>
      <c r="EB740" s="1319"/>
      <c r="EC740" s="1319"/>
      <c r="ED740" s="1319"/>
      <c r="EE740" s="1319">
        <f t="shared" si="26"/>
        <v>0</v>
      </c>
      <c r="EF740" s="1319"/>
      <c r="EG740" s="1319"/>
      <c r="EH740" s="1319"/>
      <c r="EI740" s="1319"/>
      <c r="EJ740" s="1319">
        <f t="shared" si="27"/>
        <v>0</v>
      </c>
      <c r="EK740" s="1319"/>
      <c r="EL740" s="1319"/>
      <c r="EM740" s="1319"/>
      <c r="EN740" s="1319"/>
      <c r="EO740" s="1319">
        <f t="shared" si="28"/>
        <v>0</v>
      </c>
      <c r="EP740" s="1319"/>
      <c r="EQ740" s="1319"/>
      <c r="ER740" s="1319"/>
      <c r="ES740" s="1319"/>
      <c r="ET740" s="1319">
        <f t="shared" si="29"/>
        <v>0</v>
      </c>
      <c r="EU740" s="1319"/>
      <c r="EV740" s="1319"/>
      <c r="EW740" s="1319"/>
      <c r="EX740" s="1319"/>
      <c r="EZ740" s="1292" t="str">
        <f t="shared" si="30"/>
        <v/>
      </c>
      <c r="FA740" s="1293"/>
      <c r="FB740" s="1293"/>
      <c r="FC740" s="1293"/>
      <c r="FD740" s="1294"/>
      <c r="FE740" s="1292" t="str">
        <f t="shared" si="31"/>
        <v/>
      </c>
      <c r="FF740" s="1293"/>
      <c r="FG740" s="1293"/>
      <c r="FH740" s="1293"/>
      <c r="FI740" s="1294"/>
      <c r="FJ740" s="1292" t="str">
        <f t="shared" si="32"/>
        <v/>
      </c>
      <c r="FK740" s="1293"/>
      <c r="FL740" s="1293"/>
      <c r="FM740" s="1293"/>
      <c r="FN740" s="1294"/>
      <c r="FO740" s="1292" t="str">
        <f t="shared" si="33"/>
        <v/>
      </c>
      <c r="FP740" s="1293"/>
      <c r="FQ740" s="1293"/>
      <c r="FR740" s="1293"/>
      <c r="FS740" s="1294"/>
      <c r="FT740" s="1292" t="str">
        <f t="shared" si="34"/>
        <v/>
      </c>
      <c r="FU740" s="1293"/>
      <c r="FV740" s="1293"/>
      <c r="FW740" s="1293"/>
      <c r="FX740" s="1294"/>
      <c r="FY740" s="1292" t="str">
        <f t="shared" si="35"/>
        <v/>
      </c>
      <c r="FZ740" s="1293"/>
      <c r="GA740" s="1293"/>
      <c r="GB740" s="1293"/>
      <c r="GC740" s="1294"/>
    </row>
    <row r="741" spans="1:185" ht="13" customHeight="1">
      <c r="B741" s="1306"/>
      <c r="C741" s="1307"/>
      <c r="D741" s="1307"/>
      <c r="E741" s="1307"/>
      <c r="F741" s="1308"/>
      <c r="G741" s="1315"/>
      <c r="H741" s="1316"/>
      <c r="I741" s="1316"/>
      <c r="J741" s="1317"/>
      <c r="K741" s="1538"/>
      <c r="L741" s="1539"/>
      <c r="M741" s="1539"/>
      <c r="N741" s="1540"/>
      <c r="O741" s="1404"/>
      <c r="P741" s="1405"/>
      <c r="Q741" s="1405"/>
      <c r="R741" s="1405"/>
      <c r="S741" s="1406"/>
      <c r="T741" s="1404"/>
      <c r="U741" s="1405"/>
      <c r="V741" s="1405"/>
      <c r="W741" s="1406"/>
      <c r="X741" s="1309">
        <f t="shared" si="8"/>
        <v>0</v>
      </c>
      <c r="Y741" s="1310"/>
      <c r="Z741" s="1310"/>
      <c r="AA741" s="1310"/>
      <c r="AB741" s="1311"/>
      <c r="AC741" s="1544"/>
      <c r="AD741" s="1545"/>
      <c r="AE741" s="1545"/>
      <c r="AF741" s="1545"/>
      <c r="AG741" s="1546"/>
      <c r="AH741" s="1312" t="str">
        <f t="shared" si="36"/>
        <v/>
      </c>
      <c r="AI741" s="1313"/>
      <c r="AJ741" s="1314"/>
      <c r="AK741" s="1306" t="s">
        <v>800</v>
      </c>
      <c r="AL741" s="1307"/>
      <c r="AM741" s="1307"/>
      <c r="AN741" s="1307"/>
      <c r="AO741" s="1308"/>
      <c r="AP741" s="2"/>
      <c r="AQ741" s="2"/>
      <c r="AR741" s="2"/>
      <c r="AS741" s="2"/>
      <c r="AY741" s="762"/>
      <c r="AZ741" s="68" t="str">
        <f t="shared" si="9"/>
        <v>N/A</v>
      </c>
      <c r="BA741" s="2"/>
      <c r="BE741" s="113"/>
      <c r="BF741" s="178">
        <f t="shared" si="10"/>
        <v>0</v>
      </c>
      <c r="BG741" s="181">
        <f t="shared" si="11"/>
        <v>0</v>
      </c>
      <c r="BH741" s="182" t="str">
        <f t="shared" si="12"/>
        <v/>
      </c>
      <c r="BK741" s="2"/>
      <c r="BL741" s="2"/>
      <c r="BM741" s="2"/>
      <c r="BN741" s="2"/>
      <c r="BS741" s="178">
        <f t="shared" si="13"/>
        <v>0</v>
      </c>
      <c r="BT741" s="181">
        <f t="shared" si="14"/>
        <v>0</v>
      </c>
      <c r="BU741" s="182" t="str">
        <f t="shared" si="15"/>
        <v/>
      </c>
      <c r="BV741" s="2"/>
      <c r="BW741" s="2"/>
      <c r="BX741" s="2"/>
      <c r="BY741" s="2"/>
      <c r="BZ741" s="2"/>
      <c r="CA741" s="2"/>
      <c r="CB741" s="2"/>
      <c r="CC741" s="2"/>
      <c r="CE741" s="2"/>
      <c r="CF741" s="2"/>
      <c r="CG741" s="1292">
        <f t="shared" si="37"/>
        <v>0</v>
      </c>
      <c r="CH741" s="1294"/>
      <c r="CI741" s="1292">
        <f t="shared" si="38"/>
        <v>0</v>
      </c>
      <c r="CJ741" s="1294"/>
      <c r="CK741" s="1292">
        <f t="shared" si="16"/>
        <v>0</v>
      </c>
      <c r="CL741" s="1294"/>
      <c r="CM741" s="1292">
        <f t="shared" si="17"/>
        <v>0</v>
      </c>
      <c r="CN741" s="1294"/>
      <c r="CO741" s="2"/>
      <c r="CP741" s="1289">
        <f t="shared" si="18"/>
        <v>0</v>
      </c>
      <c r="CQ741" s="1290"/>
      <c r="CR741" s="1290"/>
      <c r="CS741" s="1290"/>
      <c r="CT741" s="1291"/>
      <c r="CU741" s="1305">
        <f t="shared" si="19"/>
        <v>0</v>
      </c>
      <c r="CV741" s="1305"/>
      <c r="CW741" s="1305"/>
      <c r="CX741" s="1305"/>
      <c r="CY741" s="1305"/>
      <c r="CZ741" s="1305">
        <f t="shared" si="20"/>
        <v>0</v>
      </c>
      <c r="DA741" s="1305"/>
      <c r="DB741" s="1305"/>
      <c r="DC741" s="1305"/>
      <c r="DD741" s="1305"/>
      <c r="DE741" s="1305">
        <f t="shared" si="21"/>
        <v>0</v>
      </c>
      <c r="DF741" s="1305"/>
      <c r="DG741" s="1305"/>
      <c r="DH741" s="1305"/>
      <c r="DI741" s="1305"/>
      <c r="DJ741" s="1305">
        <f t="shared" si="22"/>
        <v>0</v>
      </c>
      <c r="DK741" s="1305"/>
      <c r="DL741" s="1305"/>
      <c r="DM741" s="1305"/>
      <c r="DN741" s="1305"/>
      <c r="DO741" s="1305">
        <f t="shared" si="23"/>
        <v>0</v>
      </c>
      <c r="DP741" s="1305"/>
      <c r="DQ741" s="1305"/>
      <c r="DR741" s="1305"/>
      <c r="DS741" s="1305"/>
      <c r="DT741" s="1068"/>
      <c r="DU741" s="1319">
        <f t="shared" si="24"/>
        <v>0</v>
      </c>
      <c r="DV741" s="1319"/>
      <c r="DW741" s="1319"/>
      <c r="DX741" s="1319"/>
      <c r="DY741" s="1319"/>
      <c r="DZ741" s="1319">
        <f t="shared" si="25"/>
        <v>0</v>
      </c>
      <c r="EA741" s="1319"/>
      <c r="EB741" s="1319"/>
      <c r="EC741" s="1319"/>
      <c r="ED741" s="1319"/>
      <c r="EE741" s="1319">
        <f t="shared" si="26"/>
        <v>0</v>
      </c>
      <c r="EF741" s="1319"/>
      <c r="EG741" s="1319"/>
      <c r="EH741" s="1319"/>
      <c r="EI741" s="1319"/>
      <c r="EJ741" s="1319">
        <f t="shared" si="27"/>
        <v>0</v>
      </c>
      <c r="EK741" s="1319"/>
      <c r="EL741" s="1319"/>
      <c r="EM741" s="1319"/>
      <c r="EN741" s="1319"/>
      <c r="EO741" s="1319">
        <f t="shared" si="28"/>
        <v>0</v>
      </c>
      <c r="EP741" s="1319"/>
      <c r="EQ741" s="1319"/>
      <c r="ER741" s="1319"/>
      <c r="ES741" s="1319"/>
      <c r="ET741" s="1319">
        <f t="shared" si="29"/>
        <v>0</v>
      </c>
      <c r="EU741" s="1319"/>
      <c r="EV741" s="1319"/>
      <c r="EW741" s="1319"/>
      <c r="EX741" s="1319"/>
      <c r="EZ741" s="1292" t="str">
        <f t="shared" si="30"/>
        <v/>
      </c>
      <c r="FA741" s="1293"/>
      <c r="FB741" s="1293"/>
      <c r="FC741" s="1293"/>
      <c r="FD741" s="1294"/>
      <c r="FE741" s="1292" t="str">
        <f t="shared" si="31"/>
        <v/>
      </c>
      <c r="FF741" s="1293"/>
      <c r="FG741" s="1293"/>
      <c r="FH741" s="1293"/>
      <c r="FI741" s="1294"/>
      <c r="FJ741" s="1292" t="str">
        <f t="shared" si="32"/>
        <v/>
      </c>
      <c r="FK741" s="1293"/>
      <c r="FL741" s="1293"/>
      <c r="FM741" s="1293"/>
      <c r="FN741" s="1294"/>
      <c r="FO741" s="1292" t="str">
        <f t="shared" si="33"/>
        <v/>
      </c>
      <c r="FP741" s="1293"/>
      <c r="FQ741" s="1293"/>
      <c r="FR741" s="1293"/>
      <c r="FS741" s="1294"/>
      <c r="FT741" s="1292" t="str">
        <f t="shared" si="34"/>
        <v/>
      </c>
      <c r="FU741" s="1293"/>
      <c r="FV741" s="1293"/>
      <c r="FW741" s="1293"/>
      <c r="FX741" s="1294"/>
      <c r="FY741" s="1292" t="str">
        <f t="shared" si="35"/>
        <v/>
      </c>
      <c r="FZ741" s="1293"/>
      <c r="GA741" s="1293"/>
      <c r="GB741" s="1293"/>
      <c r="GC741" s="1294"/>
    </row>
    <row r="742" spans="1:185" ht="13" customHeight="1">
      <c r="B742" s="1306"/>
      <c r="C742" s="1307"/>
      <c r="D742" s="1307"/>
      <c r="E742" s="1307"/>
      <c r="F742" s="1308"/>
      <c r="G742" s="1315"/>
      <c r="H742" s="1316"/>
      <c r="I742" s="1316"/>
      <c r="J742" s="1317"/>
      <c r="K742" s="1538"/>
      <c r="L742" s="1539"/>
      <c r="M742" s="1539"/>
      <c r="N742" s="1540"/>
      <c r="O742" s="1404"/>
      <c r="P742" s="1405"/>
      <c r="Q742" s="1405"/>
      <c r="R742" s="1405"/>
      <c r="S742" s="1406"/>
      <c r="T742" s="1404"/>
      <c r="U742" s="1405"/>
      <c r="V742" s="1405"/>
      <c r="W742" s="1406"/>
      <c r="X742" s="1309">
        <f t="shared" ref="X742:X751" si="39">O742+T742</f>
        <v>0</v>
      </c>
      <c r="Y742" s="1310"/>
      <c r="Z742" s="1310"/>
      <c r="AA742" s="1310"/>
      <c r="AB742" s="1311"/>
      <c r="AC742" s="1544"/>
      <c r="AD742" s="1545"/>
      <c r="AE742" s="1545"/>
      <c r="AF742" s="1545"/>
      <c r="AG742" s="1546"/>
      <c r="AH742" s="1312" t="str">
        <f t="shared" si="36"/>
        <v/>
      </c>
      <c r="AI742" s="1313"/>
      <c r="AJ742" s="1314"/>
      <c r="AK742" s="1306" t="s">
        <v>800</v>
      </c>
      <c r="AL742" s="1307"/>
      <c r="AM742" s="1307"/>
      <c r="AN742" s="1307"/>
      <c r="AO742" s="1308"/>
      <c r="AP742" s="2"/>
      <c r="AQ742" s="2"/>
      <c r="AR742" s="2"/>
      <c r="AS742" s="2"/>
      <c r="AY742" s="762"/>
      <c r="AZ742" s="68" t="str">
        <f t="shared" si="9"/>
        <v>N/A</v>
      </c>
      <c r="BA742" s="2"/>
      <c r="BB742" s="2"/>
      <c r="BE742" s="113"/>
      <c r="BF742" s="178">
        <f t="shared" si="10"/>
        <v>0</v>
      </c>
      <c r="BG742" s="181">
        <f t="shared" si="11"/>
        <v>0</v>
      </c>
      <c r="BH742" s="182" t="str">
        <f t="shared" si="12"/>
        <v/>
      </c>
      <c r="BL742" s="2"/>
      <c r="BM742" s="2"/>
      <c r="BN742" s="2"/>
      <c r="BS742" s="178">
        <f t="shared" si="13"/>
        <v>0</v>
      </c>
      <c r="BT742" s="181">
        <f t="shared" si="14"/>
        <v>0</v>
      </c>
      <c r="BU742" s="182" t="str">
        <f t="shared" si="15"/>
        <v/>
      </c>
      <c r="BV742" s="2"/>
      <c r="BW742" s="2"/>
      <c r="BX742" s="2"/>
      <c r="BY742" s="2"/>
      <c r="BZ742" s="2"/>
      <c r="CA742" s="2"/>
      <c r="CB742" s="2"/>
      <c r="CC742" s="2"/>
      <c r="CE742" s="2"/>
      <c r="CF742" s="2"/>
      <c r="CG742" s="1292">
        <f t="shared" si="37"/>
        <v>0</v>
      </c>
      <c r="CH742" s="1294"/>
      <c r="CI742" s="1292">
        <f t="shared" si="38"/>
        <v>0</v>
      </c>
      <c r="CJ742" s="1294"/>
      <c r="CK742" s="1292">
        <f t="shared" si="16"/>
        <v>0</v>
      </c>
      <c r="CL742" s="1294"/>
      <c r="CM742" s="1292">
        <f t="shared" si="17"/>
        <v>0</v>
      </c>
      <c r="CN742" s="1294"/>
      <c r="CO742" s="2"/>
      <c r="CP742" s="1289">
        <f t="shared" si="18"/>
        <v>0</v>
      </c>
      <c r="CQ742" s="1290"/>
      <c r="CR742" s="1290"/>
      <c r="CS742" s="1290"/>
      <c r="CT742" s="1291"/>
      <c r="CU742" s="1305">
        <f t="shared" si="19"/>
        <v>0</v>
      </c>
      <c r="CV742" s="1305"/>
      <c r="CW742" s="1305"/>
      <c r="CX742" s="1305"/>
      <c r="CY742" s="1305"/>
      <c r="CZ742" s="1305">
        <f t="shared" si="20"/>
        <v>0</v>
      </c>
      <c r="DA742" s="1305"/>
      <c r="DB742" s="1305"/>
      <c r="DC742" s="1305"/>
      <c r="DD742" s="1305"/>
      <c r="DE742" s="1305">
        <f t="shared" si="21"/>
        <v>0</v>
      </c>
      <c r="DF742" s="1305"/>
      <c r="DG742" s="1305"/>
      <c r="DH742" s="1305"/>
      <c r="DI742" s="1305"/>
      <c r="DJ742" s="1305">
        <f t="shared" si="22"/>
        <v>0</v>
      </c>
      <c r="DK742" s="1305"/>
      <c r="DL742" s="1305"/>
      <c r="DM742" s="1305"/>
      <c r="DN742" s="1305"/>
      <c r="DO742" s="1305">
        <f t="shared" si="23"/>
        <v>0</v>
      </c>
      <c r="DP742" s="1305"/>
      <c r="DQ742" s="1305"/>
      <c r="DR742" s="1305"/>
      <c r="DS742" s="1305"/>
      <c r="DT742" s="1068"/>
      <c r="DU742" s="1319">
        <f t="shared" si="24"/>
        <v>0</v>
      </c>
      <c r="DV742" s="1319"/>
      <c r="DW742" s="1319"/>
      <c r="DX742" s="1319"/>
      <c r="DY742" s="1319"/>
      <c r="DZ742" s="1319">
        <f t="shared" si="25"/>
        <v>0</v>
      </c>
      <c r="EA742" s="1319"/>
      <c r="EB742" s="1319"/>
      <c r="EC742" s="1319"/>
      <c r="ED742" s="1319"/>
      <c r="EE742" s="1319">
        <f t="shared" si="26"/>
        <v>0</v>
      </c>
      <c r="EF742" s="1319"/>
      <c r="EG742" s="1319"/>
      <c r="EH742" s="1319"/>
      <c r="EI742" s="1319"/>
      <c r="EJ742" s="1319">
        <f t="shared" si="27"/>
        <v>0</v>
      </c>
      <c r="EK742" s="1319"/>
      <c r="EL742" s="1319"/>
      <c r="EM742" s="1319"/>
      <c r="EN742" s="1319"/>
      <c r="EO742" s="1319">
        <f t="shared" si="28"/>
        <v>0</v>
      </c>
      <c r="EP742" s="1319"/>
      <c r="EQ742" s="1319"/>
      <c r="ER742" s="1319"/>
      <c r="ES742" s="1319"/>
      <c r="ET742" s="1319">
        <f t="shared" si="29"/>
        <v>0</v>
      </c>
      <c r="EU742" s="1319"/>
      <c r="EV742" s="1319"/>
      <c r="EW742" s="1319"/>
      <c r="EX742" s="1319"/>
      <c r="EZ742" s="1292" t="str">
        <f t="shared" si="30"/>
        <v/>
      </c>
      <c r="FA742" s="1293"/>
      <c r="FB742" s="1293"/>
      <c r="FC742" s="1293"/>
      <c r="FD742" s="1294"/>
      <c r="FE742" s="1292" t="str">
        <f t="shared" si="31"/>
        <v/>
      </c>
      <c r="FF742" s="1293"/>
      <c r="FG742" s="1293"/>
      <c r="FH742" s="1293"/>
      <c r="FI742" s="1294"/>
      <c r="FJ742" s="1292" t="str">
        <f t="shared" si="32"/>
        <v/>
      </c>
      <c r="FK742" s="1293"/>
      <c r="FL742" s="1293"/>
      <c r="FM742" s="1293"/>
      <c r="FN742" s="1294"/>
      <c r="FO742" s="1292" t="str">
        <f t="shared" si="33"/>
        <v/>
      </c>
      <c r="FP742" s="1293"/>
      <c r="FQ742" s="1293"/>
      <c r="FR742" s="1293"/>
      <c r="FS742" s="1294"/>
      <c r="FT742" s="1292" t="str">
        <f t="shared" si="34"/>
        <v/>
      </c>
      <c r="FU742" s="1293"/>
      <c r="FV742" s="1293"/>
      <c r="FW742" s="1293"/>
      <c r="FX742" s="1294"/>
      <c r="FY742" s="1292" t="str">
        <f t="shared" si="35"/>
        <v/>
      </c>
      <c r="FZ742" s="1293"/>
      <c r="GA742" s="1293"/>
      <c r="GB742" s="1293"/>
      <c r="GC742" s="1294"/>
    </row>
    <row r="743" spans="1:185" s="2" customFormat="1" ht="13" customHeight="1">
      <c r="A743"/>
      <c r="B743" s="1306"/>
      <c r="C743" s="1307"/>
      <c r="D743" s="1307"/>
      <c r="E743" s="1307"/>
      <c r="F743" s="1308"/>
      <c r="G743" s="1315"/>
      <c r="H743" s="1316"/>
      <c r="I743" s="1316"/>
      <c r="J743" s="1317"/>
      <c r="K743" s="1538"/>
      <c r="L743" s="1539"/>
      <c r="M743" s="1539"/>
      <c r="N743" s="1540"/>
      <c r="O743" s="1404"/>
      <c r="P743" s="1405"/>
      <c r="Q743" s="1405"/>
      <c r="R743" s="1405"/>
      <c r="S743" s="1406"/>
      <c r="T743" s="1404"/>
      <c r="U743" s="1405"/>
      <c r="V743" s="1405"/>
      <c r="W743" s="1406"/>
      <c r="X743" s="1309">
        <f t="shared" si="39"/>
        <v>0</v>
      </c>
      <c r="Y743" s="1310"/>
      <c r="Z743" s="1310"/>
      <c r="AA743" s="1310"/>
      <c r="AB743" s="1311"/>
      <c r="AC743" s="1544"/>
      <c r="AD743" s="1545"/>
      <c r="AE743" s="1545"/>
      <c r="AF743" s="1545"/>
      <c r="AG743" s="1546"/>
      <c r="AH743" s="1312" t="str">
        <f t="shared" si="36"/>
        <v/>
      </c>
      <c r="AI743" s="1313"/>
      <c r="AJ743" s="1314"/>
      <c r="AK743" s="1306" t="s">
        <v>800</v>
      </c>
      <c r="AL743" s="1307"/>
      <c r="AM743" s="1307"/>
      <c r="AN743" s="1307"/>
      <c r="AO743" s="1308"/>
      <c r="AT743"/>
      <c r="AU743"/>
      <c r="AV743"/>
      <c r="AW743"/>
      <c r="AX743"/>
      <c r="AY743" s="762"/>
      <c r="AZ743" s="68" t="str">
        <f t="shared" si="9"/>
        <v>N/A</v>
      </c>
      <c r="BD743"/>
      <c r="BE743"/>
      <c r="BF743" s="178">
        <f t="shared" si="10"/>
        <v>0</v>
      </c>
      <c r="BG743" s="181">
        <f t="shared" si="11"/>
        <v>0</v>
      </c>
      <c r="BH743" s="182" t="str">
        <f t="shared" si="12"/>
        <v/>
      </c>
      <c r="BI743"/>
      <c r="BJ743"/>
      <c r="BK743"/>
      <c r="BL743"/>
      <c r="BM743"/>
      <c r="BN743"/>
      <c r="BO743"/>
      <c r="BP743"/>
      <c r="BQ743"/>
      <c r="BR743"/>
      <c r="BS743" s="178">
        <f t="shared" si="13"/>
        <v>0</v>
      </c>
      <c r="BT743" s="181">
        <f t="shared" si="14"/>
        <v>0</v>
      </c>
      <c r="BU743" s="182" t="str">
        <f t="shared" si="15"/>
        <v/>
      </c>
      <c r="CD743"/>
      <c r="CG743" s="1292">
        <f t="shared" si="37"/>
        <v>0</v>
      </c>
      <c r="CH743" s="1294"/>
      <c r="CI743" s="1292">
        <f t="shared" si="38"/>
        <v>0</v>
      </c>
      <c r="CJ743" s="1294"/>
      <c r="CK743" s="1292">
        <f t="shared" si="16"/>
        <v>0</v>
      </c>
      <c r="CL743" s="1294"/>
      <c r="CM743" s="1292">
        <f t="shared" si="17"/>
        <v>0</v>
      </c>
      <c r="CN743" s="1294"/>
      <c r="CP743" s="1289">
        <f t="shared" si="18"/>
        <v>0</v>
      </c>
      <c r="CQ743" s="1290"/>
      <c r="CR743" s="1290"/>
      <c r="CS743" s="1290"/>
      <c r="CT743" s="1291"/>
      <c r="CU743" s="1305">
        <f t="shared" si="19"/>
        <v>0</v>
      </c>
      <c r="CV743" s="1305"/>
      <c r="CW743" s="1305"/>
      <c r="CX743" s="1305"/>
      <c r="CY743" s="1305"/>
      <c r="CZ743" s="1305">
        <f t="shared" si="20"/>
        <v>0</v>
      </c>
      <c r="DA743" s="1305"/>
      <c r="DB743" s="1305"/>
      <c r="DC743" s="1305"/>
      <c r="DD743" s="1305"/>
      <c r="DE743" s="1305">
        <f t="shared" si="21"/>
        <v>0</v>
      </c>
      <c r="DF743" s="1305"/>
      <c r="DG743" s="1305"/>
      <c r="DH743" s="1305"/>
      <c r="DI743" s="1305"/>
      <c r="DJ743" s="1305">
        <f t="shared" si="22"/>
        <v>0</v>
      </c>
      <c r="DK743" s="1305"/>
      <c r="DL743" s="1305"/>
      <c r="DM743" s="1305"/>
      <c r="DN743" s="1305"/>
      <c r="DO743" s="1305">
        <f t="shared" si="23"/>
        <v>0</v>
      </c>
      <c r="DP743" s="1305"/>
      <c r="DQ743" s="1305"/>
      <c r="DR743" s="1305"/>
      <c r="DS743" s="1305"/>
      <c r="DT743" s="1068"/>
      <c r="DU743" s="1319">
        <f t="shared" si="24"/>
        <v>0</v>
      </c>
      <c r="DV743" s="1319"/>
      <c r="DW743" s="1319"/>
      <c r="DX743" s="1319"/>
      <c r="DY743" s="1319"/>
      <c r="DZ743" s="1319">
        <f t="shared" si="25"/>
        <v>0</v>
      </c>
      <c r="EA743" s="1319"/>
      <c r="EB743" s="1319"/>
      <c r="EC743" s="1319"/>
      <c r="ED743" s="1319"/>
      <c r="EE743" s="1319">
        <f t="shared" si="26"/>
        <v>0</v>
      </c>
      <c r="EF743" s="1319"/>
      <c r="EG743" s="1319"/>
      <c r="EH743" s="1319"/>
      <c r="EI743" s="1319"/>
      <c r="EJ743" s="1319">
        <f t="shared" si="27"/>
        <v>0</v>
      </c>
      <c r="EK743" s="1319"/>
      <c r="EL743" s="1319"/>
      <c r="EM743" s="1319"/>
      <c r="EN743" s="1319"/>
      <c r="EO743" s="1319">
        <f t="shared" si="28"/>
        <v>0</v>
      </c>
      <c r="EP743" s="1319"/>
      <c r="EQ743" s="1319"/>
      <c r="ER743" s="1319"/>
      <c r="ES743" s="1319"/>
      <c r="ET743" s="1319">
        <f t="shared" si="29"/>
        <v>0</v>
      </c>
      <c r="EU743" s="1319"/>
      <c r="EV743" s="1319"/>
      <c r="EW743" s="1319"/>
      <c r="EX743" s="1319"/>
      <c r="EY743"/>
      <c r="EZ743" s="1292" t="str">
        <f t="shared" si="30"/>
        <v/>
      </c>
      <c r="FA743" s="1293"/>
      <c r="FB743" s="1293"/>
      <c r="FC743" s="1293"/>
      <c r="FD743" s="1294"/>
      <c r="FE743" s="1292" t="str">
        <f t="shared" si="31"/>
        <v/>
      </c>
      <c r="FF743" s="1293"/>
      <c r="FG743" s="1293"/>
      <c r="FH743" s="1293"/>
      <c r="FI743" s="1294"/>
      <c r="FJ743" s="1292" t="str">
        <f t="shared" si="32"/>
        <v/>
      </c>
      <c r="FK743" s="1293"/>
      <c r="FL743" s="1293"/>
      <c r="FM743" s="1293"/>
      <c r="FN743" s="1294"/>
      <c r="FO743" s="1292" t="str">
        <f t="shared" si="33"/>
        <v/>
      </c>
      <c r="FP743" s="1293"/>
      <c r="FQ743" s="1293"/>
      <c r="FR743" s="1293"/>
      <c r="FS743" s="1294"/>
      <c r="FT743" s="1292" t="str">
        <f t="shared" si="34"/>
        <v/>
      </c>
      <c r="FU743" s="1293"/>
      <c r="FV743" s="1293"/>
      <c r="FW743" s="1293"/>
      <c r="FX743" s="1294"/>
      <c r="FY743" s="1292" t="str">
        <f t="shared" si="35"/>
        <v/>
      </c>
      <c r="FZ743" s="1293"/>
      <c r="GA743" s="1293"/>
      <c r="GB743" s="1293"/>
      <c r="GC743" s="1294"/>
    </row>
    <row r="744" spans="1:185" ht="13" customHeight="1">
      <c r="B744" s="1306"/>
      <c r="C744" s="1307"/>
      <c r="D744" s="1307"/>
      <c r="E744" s="1307"/>
      <c r="F744" s="1308"/>
      <c r="G744" s="1315"/>
      <c r="H744" s="1316"/>
      <c r="I744" s="1316"/>
      <c r="J744" s="1317"/>
      <c r="K744" s="1538"/>
      <c r="L744" s="1539"/>
      <c r="M744" s="1539"/>
      <c r="N744" s="1540"/>
      <c r="O744" s="1404"/>
      <c r="P744" s="1405"/>
      <c r="Q744" s="1405"/>
      <c r="R744" s="1405"/>
      <c r="S744" s="1406"/>
      <c r="T744" s="1404"/>
      <c r="U744" s="1405"/>
      <c r="V744" s="1405"/>
      <c r="W744" s="1406"/>
      <c r="X744" s="1309">
        <f t="shared" si="39"/>
        <v>0</v>
      </c>
      <c r="Y744" s="1310"/>
      <c r="Z744" s="1310"/>
      <c r="AA744" s="1310"/>
      <c r="AB744" s="1311"/>
      <c r="AC744" s="1544"/>
      <c r="AD744" s="1545"/>
      <c r="AE744" s="1545"/>
      <c r="AF744" s="1545"/>
      <c r="AG744" s="1546"/>
      <c r="AH744" s="1312" t="str">
        <f t="shared" si="36"/>
        <v/>
      </c>
      <c r="AI744" s="1313"/>
      <c r="AJ744" s="1314"/>
      <c r="AK744" s="1306" t="s">
        <v>800</v>
      </c>
      <c r="AL744" s="1307"/>
      <c r="AM744" s="1307"/>
      <c r="AN744" s="1307"/>
      <c r="AO744" s="1308"/>
      <c r="AP744" s="2"/>
      <c r="AQ744" s="2"/>
      <c r="AR744" s="2"/>
      <c r="AS744" s="2"/>
      <c r="AY744" s="762"/>
      <c r="AZ744" s="68" t="str">
        <f t="shared" si="9"/>
        <v>N/A</v>
      </c>
      <c r="BA744" s="2"/>
      <c r="BB744" s="2"/>
      <c r="BC744" s="2"/>
      <c r="BD744" s="2"/>
      <c r="BE744" s="2"/>
      <c r="BF744" s="178">
        <f t="shared" si="10"/>
        <v>0</v>
      </c>
      <c r="BG744" s="181">
        <f t="shared" si="11"/>
        <v>0</v>
      </c>
      <c r="BH744" s="182" t="str">
        <f t="shared" si="12"/>
        <v/>
      </c>
      <c r="BI744" s="2"/>
      <c r="BJ744" s="2"/>
      <c r="BK744" s="2"/>
      <c r="BL744" s="2"/>
      <c r="BM744" s="2"/>
      <c r="BN744" s="2"/>
      <c r="BS744" s="178">
        <f t="shared" si="13"/>
        <v>0</v>
      </c>
      <c r="BT744" s="181">
        <f t="shared" si="14"/>
        <v>0</v>
      </c>
      <c r="BU744" s="182" t="str">
        <f t="shared" si="15"/>
        <v/>
      </c>
      <c r="BV744" s="2"/>
      <c r="BW744" s="2"/>
      <c r="BX744" s="2"/>
      <c r="BY744" s="2"/>
      <c r="BZ744" s="2"/>
      <c r="CA744" s="2"/>
      <c r="CB744" s="2"/>
      <c r="CC744" s="2"/>
      <c r="CE744" s="2"/>
      <c r="CF744" s="2"/>
      <c r="CG744" s="1292">
        <f t="shared" si="37"/>
        <v>0</v>
      </c>
      <c r="CH744" s="1294"/>
      <c r="CI744" s="1292">
        <f t="shared" si="38"/>
        <v>0</v>
      </c>
      <c r="CJ744" s="1294"/>
      <c r="CK744" s="1292">
        <f t="shared" si="16"/>
        <v>0</v>
      </c>
      <c r="CL744" s="1294"/>
      <c r="CM744" s="1292">
        <f t="shared" si="17"/>
        <v>0</v>
      </c>
      <c r="CN744" s="1294"/>
      <c r="CO744" s="2"/>
      <c r="CP744" s="1289">
        <f t="shared" si="18"/>
        <v>0</v>
      </c>
      <c r="CQ744" s="1290"/>
      <c r="CR744" s="1290"/>
      <c r="CS744" s="1290"/>
      <c r="CT744" s="1291"/>
      <c r="CU744" s="1305">
        <f t="shared" si="19"/>
        <v>0</v>
      </c>
      <c r="CV744" s="1305"/>
      <c r="CW744" s="1305"/>
      <c r="CX744" s="1305"/>
      <c r="CY744" s="1305"/>
      <c r="CZ744" s="1305">
        <f t="shared" si="20"/>
        <v>0</v>
      </c>
      <c r="DA744" s="1305"/>
      <c r="DB744" s="1305"/>
      <c r="DC744" s="1305"/>
      <c r="DD744" s="1305"/>
      <c r="DE744" s="1305">
        <f t="shared" si="21"/>
        <v>0</v>
      </c>
      <c r="DF744" s="1305"/>
      <c r="DG744" s="1305"/>
      <c r="DH744" s="1305"/>
      <c r="DI744" s="1305"/>
      <c r="DJ744" s="1305">
        <f t="shared" si="22"/>
        <v>0</v>
      </c>
      <c r="DK744" s="1305"/>
      <c r="DL744" s="1305"/>
      <c r="DM744" s="1305"/>
      <c r="DN744" s="1305"/>
      <c r="DO744" s="1305">
        <f t="shared" si="23"/>
        <v>0</v>
      </c>
      <c r="DP744" s="1305"/>
      <c r="DQ744" s="1305"/>
      <c r="DR744" s="1305"/>
      <c r="DS744" s="1305"/>
      <c r="DT744" s="1068"/>
      <c r="DU744" s="1319">
        <f t="shared" si="24"/>
        <v>0</v>
      </c>
      <c r="DV744" s="1319"/>
      <c r="DW744" s="1319"/>
      <c r="DX744" s="1319"/>
      <c r="DY744" s="1319"/>
      <c r="DZ744" s="1319">
        <f t="shared" si="25"/>
        <v>0</v>
      </c>
      <c r="EA744" s="1319"/>
      <c r="EB744" s="1319"/>
      <c r="EC744" s="1319"/>
      <c r="ED744" s="1319"/>
      <c r="EE744" s="1319">
        <f t="shared" si="26"/>
        <v>0</v>
      </c>
      <c r="EF744" s="1319"/>
      <c r="EG744" s="1319"/>
      <c r="EH744" s="1319"/>
      <c r="EI744" s="1319"/>
      <c r="EJ744" s="1319">
        <f t="shared" si="27"/>
        <v>0</v>
      </c>
      <c r="EK744" s="1319"/>
      <c r="EL744" s="1319"/>
      <c r="EM744" s="1319"/>
      <c r="EN744" s="1319"/>
      <c r="EO744" s="1319">
        <f t="shared" si="28"/>
        <v>0</v>
      </c>
      <c r="EP744" s="1319"/>
      <c r="EQ744" s="1319"/>
      <c r="ER744" s="1319"/>
      <c r="ES744" s="1319"/>
      <c r="ET744" s="1319">
        <f t="shared" si="29"/>
        <v>0</v>
      </c>
      <c r="EU744" s="1319"/>
      <c r="EV744" s="1319"/>
      <c r="EW744" s="1319"/>
      <c r="EX744" s="1319"/>
      <c r="EZ744" s="1292" t="str">
        <f t="shared" si="30"/>
        <v/>
      </c>
      <c r="FA744" s="1293"/>
      <c r="FB744" s="1293"/>
      <c r="FC744" s="1293"/>
      <c r="FD744" s="1294"/>
      <c r="FE744" s="1292" t="str">
        <f t="shared" si="31"/>
        <v/>
      </c>
      <c r="FF744" s="1293"/>
      <c r="FG744" s="1293"/>
      <c r="FH744" s="1293"/>
      <c r="FI744" s="1294"/>
      <c r="FJ744" s="1292" t="str">
        <f t="shared" si="32"/>
        <v/>
      </c>
      <c r="FK744" s="1293"/>
      <c r="FL744" s="1293"/>
      <c r="FM744" s="1293"/>
      <c r="FN744" s="1294"/>
      <c r="FO744" s="1292" t="str">
        <f t="shared" si="33"/>
        <v/>
      </c>
      <c r="FP744" s="1293"/>
      <c r="FQ744" s="1293"/>
      <c r="FR744" s="1293"/>
      <c r="FS744" s="1294"/>
      <c r="FT744" s="1292" t="str">
        <f t="shared" si="34"/>
        <v/>
      </c>
      <c r="FU744" s="1293"/>
      <c r="FV744" s="1293"/>
      <c r="FW744" s="1293"/>
      <c r="FX744" s="1294"/>
      <c r="FY744" s="1292" t="str">
        <f t="shared" si="35"/>
        <v/>
      </c>
      <c r="FZ744" s="1293"/>
      <c r="GA744" s="1293"/>
      <c r="GB744" s="1293"/>
      <c r="GC744" s="1294"/>
    </row>
    <row r="745" spans="1:185" ht="13" customHeight="1">
      <c r="B745" s="1306"/>
      <c r="C745" s="1307"/>
      <c r="D745" s="1307"/>
      <c r="E745" s="1307"/>
      <c r="F745" s="1308"/>
      <c r="G745" s="1315"/>
      <c r="H745" s="1316"/>
      <c r="I745" s="1316"/>
      <c r="J745" s="1317"/>
      <c r="K745" s="1538"/>
      <c r="L745" s="1539"/>
      <c r="M745" s="1539"/>
      <c r="N745" s="1540"/>
      <c r="O745" s="1404"/>
      <c r="P745" s="1405"/>
      <c r="Q745" s="1405"/>
      <c r="R745" s="1405"/>
      <c r="S745" s="1406"/>
      <c r="T745" s="1404"/>
      <c r="U745" s="1405"/>
      <c r="V745" s="1405"/>
      <c r="W745" s="1406"/>
      <c r="X745" s="1309">
        <f t="shared" si="39"/>
        <v>0</v>
      </c>
      <c r="Y745" s="1310"/>
      <c r="Z745" s="1310"/>
      <c r="AA745" s="1310"/>
      <c r="AB745" s="1311"/>
      <c r="AC745" s="1544"/>
      <c r="AD745" s="1545"/>
      <c r="AE745" s="1545"/>
      <c r="AF745" s="1545"/>
      <c r="AG745" s="1546"/>
      <c r="AH745" s="1312" t="str">
        <f t="shared" si="36"/>
        <v/>
      </c>
      <c r="AI745" s="1313"/>
      <c r="AJ745" s="1314"/>
      <c r="AK745" s="1306" t="s">
        <v>800</v>
      </c>
      <c r="AL745" s="1307"/>
      <c r="AM745" s="1307"/>
      <c r="AN745" s="1307"/>
      <c r="AO745" s="1308"/>
      <c r="AP745" s="2"/>
      <c r="AQ745" s="2"/>
      <c r="AR745" s="2"/>
      <c r="AS745" s="2"/>
      <c r="AY745" s="762"/>
      <c r="AZ745" s="68" t="str">
        <f t="shared" si="9"/>
        <v>N/A</v>
      </c>
      <c r="BA745" s="2"/>
      <c r="BB745" s="2"/>
      <c r="BC745" s="2"/>
      <c r="BD745" s="2"/>
      <c r="BE745" s="2"/>
      <c r="BF745" s="178">
        <f t="shared" si="10"/>
        <v>0</v>
      </c>
      <c r="BG745" s="181">
        <f t="shared" si="11"/>
        <v>0</v>
      </c>
      <c r="BH745" s="182" t="str">
        <f t="shared" si="12"/>
        <v/>
      </c>
      <c r="BI745" s="2"/>
      <c r="BJ745" s="2"/>
      <c r="BK745" s="2"/>
      <c r="BL745" s="2"/>
      <c r="BM745" s="2"/>
      <c r="BN745" s="2"/>
      <c r="BS745" s="178">
        <f t="shared" si="13"/>
        <v>0</v>
      </c>
      <c r="BT745" s="181">
        <f t="shared" si="14"/>
        <v>0</v>
      </c>
      <c r="BU745" s="182" t="str">
        <f t="shared" si="15"/>
        <v/>
      </c>
      <c r="BV745" s="2"/>
      <c r="BW745" s="2"/>
      <c r="BX745" s="2"/>
      <c r="BY745" s="2"/>
      <c r="BZ745" s="2"/>
      <c r="CA745" s="2"/>
      <c r="CB745" s="2"/>
      <c r="CC745" s="2"/>
      <c r="CE745" s="2"/>
      <c r="CF745" s="2"/>
      <c r="CG745" s="1292">
        <f t="shared" si="37"/>
        <v>0</v>
      </c>
      <c r="CH745" s="1294"/>
      <c r="CI745" s="1292">
        <f t="shared" si="38"/>
        <v>0</v>
      </c>
      <c r="CJ745" s="1294"/>
      <c r="CK745" s="1292">
        <f t="shared" si="16"/>
        <v>0</v>
      </c>
      <c r="CL745" s="1294"/>
      <c r="CM745" s="1292">
        <f t="shared" si="17"/>
        <v>0</v>
      </c>
      <c r="CN745" s="1294"/>
      <c r="CO745" s="2"/>
      <c r="CP745" s="1289">
        <f t="shared" si="18"/>
        <v>0</v>
      </c>
      <c r="CQ745" s="1290"/>
      <c r="CR745" s="1290"/>
      <c r="CS745" s="1290"/>
      <c r="CT745" s="1291"/>
      <c r="CU745" s="1305">
        <f t="shared" si="19"/>
        <v>0</v>
      </c>
      <c r="CV745" s="1305"/>
      <c r="CW745" s="1305"/>
      <c r="CX745" s="1305"/>
      <c r="CY745" s="1305"/>
      <c r="CZ745" s="1305">
        <f t="shared" si="20"/>
        <v>0</v>
      </c>
      <c r="DA745" s="1305"/>
      <c r="DB745" s="1305"/>
      <c r="DC745" s="1305"/>
      <c r="DD745" s="1305"/>
      <c r="DE745" s="1305">
        <f t="shared" si="21"/>
        <v>0</v>
      </c>
      <c r="DF745" s="1305"/>
      <c r="DG745" s="1305"/>
      <c r="DH745" s="1305"/>
      <c r="DI745" s="1305"/>
      <c r="DJ745" s="1305">
        <f t="shared" si="22"/>
        <v>0</v>
      </c>
      <c r="DK745" s="1305"/>
      <c r="DL745" s="1305"/>
      <c r="DM745" s="1305"/>
      <c r="DN745" s="1305"/>
      <c r="DO745" s="1305">
        <f t="shared" si="23"/>
        <v>0</v>
      </c>
      <c r="DP745" s="1305"/>
      <c r="DQ745" s="1305"/>
      <c r="DR745" s="1305"/>
      <c r="DS745" s="1305"/>
      <c r="DT745" s="1068"/>
      <c r="DU745" s="1319">
        <f t="shared" si="24"/>
        <v>0</v>
      </c>
      <c r="DV745" s="1319"/>
      <c r="DW745" s="1319"/>
      <c r="DX745" s="1319"/>
      <c r="DY745" s="1319"/>
      <c r="DZ745" s="1319">
        <f t="shared" si="25"/>
        <v>0</v>
      </c>
      <c r="EA745" s="1319"/>
      <c r="EB745" s="1319"/>
      <c r="EC745" s="1319"/>
      <c r="ED745" s="1319"/>
      <c r="EE745" s="1319">
        <f t="shared" si="26"/>
        <v>0</v>
      </c>
      <c r="EF745" s="1319"/>
      <c r="EG745" s="1319"/>
      <c r="EH745" s="1319"/>
      <c r="EI745" s="1319"/>
      <c r="EJ745" s="1319">
        <f t="shared" si="27"/>
        <v>0</v>
      </c>
      <c r="EK745" s="1319"/>
      <c r="EL745" s="1319"/>
      <c r="EM745" s="1319"/>
      <c r="EN745" s="1319"/>
      <c r="EO745" s="1319">
        <f t="shared" si="28"/>
        <v>0</v>
      </c>
      <c r="EP745" s="1319"/>
      <c r="EQ745" s="1319"/>
      <c r="ER745" s="1319"/>
      <c r="ES745" s="1319"/>
      <c r="ET745" s="1319">
        <f t="shared" si="29"/>
        <v>0</v>
      </c>
      <c r="EU745" s="1319"/>
      <c r="EV745" s="1319"/>
      <c r="EW745" s="1319"/>
      <c r="EX745" s="1319"/>
      <c r="EZ745" s="1292" t="str">
        <f t="shared" si="30"/>
        <v/>
      </c>
      <c r="FA745" s="1293"/>
      <c r="FB745" s="1293"/>
      <c r="FC745" s="1293"/>
      <c r="FD745" s="1294"/>
      <c r="FE745" s="1292" t="str">
        <f t="shared" si="31"/>
        <v/>
      </c>
      <c r="FF745" s="1293"/>
      <c r="FG745" s="1293"/>
      <c r="FH745" s="1293"/>
      <c r="FI745" s="1294"/>
      <c r="FJ745" s="1292" t="str">
        <f t="shared" si="32"/>
        <v/>
      </c>
      <c r="FK745" s="1293"/>
      <c r="FL745" s="1293"/>
      <c r="FM745" s="1293"/>
      <c r="FN745" s="1294"/>
      <c r="FO745" s="1292" t="str">
        <f t="shared" si="33"/>
        <v/>
      </c>
      <c r="FP745" s="1293"/>
      <c r="FQ745" s="1293"/>
      <c r="FR745" s="1293"/>
      <c r="FS745" s="1294"/>
      <c r="FT745" s="1292" t="str">
        <f t="shared" si="34"/>
        <v/>
      </c>
      <c r="FU745" s="1293"/>
      <c r="FV745" s="1293"/>
      <c r="FW745" s="1293"/>
      <c r="FX745" s="1294"/>
      <c r="FY745" s="1292" t="str">
        <f t="shared" si="35"/>
        <v/>
      </c>
      <c r="FZ745" s="1293"/>
      <c r="GA745" s="1293"/>
      <c r="GB745" s="1293"/>
      <c r="GC745" s="1294"/>
    </row>
    <row r="746" spans="1:185" ht="13" customHeight="1">
      <c r="B746" s="1306"/>
      <c r="C746" s="1307"/>
      <c r="D746" s="1307"/>
      <c r="E746" s="1307"/>
      <c r="F746" s="1308"/>
      <c r="G746" s="1315"/>
      <c r="H746" s="1316"/>
      <c r="I746" s="1316"/>
      <c r="J746" s="1317"/>
      <c r="K746" s="1538"/>
      <c r="L746" s="1539"/>
      <c r="M746" s="1539"/>
      <c r="N746" s="1540"/>
      <c r="O746" s="1404"/>
      <c r="P746" s="1405"/>
      <c r="Q746" s="1405"/>
      <c r="R746" s="1405"/>
      <c r="S746" s="1406"/>
      <c r="T746" s="1404"/>
      <c r="U746" s="1405"/>
      <c r="V746" s="1405"/>
      <c r="W746" s="1406"/>
      <c r="X746" s="1309">
        <f t="shared" si="39"/>
        <v>0</v>
      </c>
      <c r="Y746" s="1310"/>
      <c r="Z746" s="1310"/>
      <c r="AA746" s="1310"/>
      <c r="AB746" s="1311"/>
      <c r="AC746" s="1544"/>
      <c r="AD746" s="1545"/>
      <c r="AE746" s="1545"/>
      <c r="AF746" s="1545"/>
      <c r="AG746" s="1546"/>
      <c r="AH746" s="1312" t="str">
        <f t="shared" si="36"/>
        <v/>
      </c>
      <c r="AI746" s="1313"/>
      <c r="AJ746" s="1314"/>
      <c r="AK746" s="1306" t="s">
        <v>800</v>
      </c>
      <c r="AL746" s="1307"/>
      <c r="AM746" s="1307"/>
      <c r="AN746" s="1307"/>
      <c r="AO746" s="1308"/>
      <c r="AP746" s="2"/>
      <c r="AQ746" s="2"/>
      <c r="AR746" s="2"/>
      <c r="AS746" s="2"/>
      <c r="AY746" s="762"/>
      <c r="AZ746" s="68" t="str">
        <f t="shared" si="9"/>
        <v>N/A</v>
      </c>
      <c r="BA746" s="2"/>
      <c r="BB746" s="2"/>
      <c r="BC746" s="2"/>
      <c r="BD746" s="2"/>
      <c r="BE746" s="2"/>
      <c r="BF746" s="178">
        <f t="shared" si="10"/>
        <v>0</v>
      </c>
      <c r="BG746" s="181">
        <f t="shared" si="11"/>
        <v>0</v>
      </c>
      <c r="BH746" s="182" t="str">
        <f t="shared" si="12"/>
        <v/>
      </c>
      <c r="BI746" s="2"/>
      <c r="BJ746" s="2"/>
      <c r="BK746" s="2"/>
      <c r="BL746" s="2"/>
      <c r="BM746" s="2"/>
      <c r="BN746" s="2"/>
      <c r="BS746" s="178">
        <f t="shared" si="13"/>
        <v>0</v>
      </c>
      <c r="BT746" s="181">
        <f t="shared" si="14"/>
        <v>0</v>
      </c>
      <c r="BU746" s="182" t="str">
        <f t="shared" si="15"/>
        <v/>
      </c>
      <c r="BV746" s="2"/>
      <c r="BW746" s="2"/>
      <c r="BX746" s="2"/>
      <c r="BY746" s="2"/>
      <c r="BZ746" s="2"/>
      <c r="CA746" s="2"/>
      <c r="CB746" s="2"/>
      <c r="CC746" s="2"/>
      <c r="CE746" s="2"/>
      <c r="CF746" s="2"/>
      <c r="CG746" s="1292">
        <f t="shared" si="37"/>
        <v>0</v>
      </c>
      <c r="CH746" s="1294"/>
      <c r="CI746" s="1292">
        <f t="shared" si="38"/>
        <v>0</v>
      </c>
      <c r="CJ746" s="1294"/>
      <c r="CK746" s="1292">
        <f t="shared" si="16"/>
        <v>0</v>
      </c>
      <c r="CL746" s="1294"/>
      <c r="CM746" s="1292">
        <f t="shared" si="17"/>
        <v>0</v>
      </c>
      <c r="CN746" s="1294"/>
      <c r="CO746" s="2"/>
      <c r="CP746" s="1289">
        <f t="shared" si="18"/>
        <v>0</v>
      </c>
      <c r="CQ746" s="1290"/>
      <c r="CR746" s="1290"/>
      <c r="CS746" s="1290"/>
      <c r="CT746" s="1291"/>
      <c r="CU746" s="1305">
        <f t="shared" si="19"/>
        <v>0</v>
      </c>
      <c r="CV746" s="1305"/>
      <c r="CW746" s="1305"/>
      <c r="CX746" s="1305"/>
      <c r="CY746" s="1305"/>
      <c r="CZ746" s="1305">
        <f t="shared" si="20"/>
        <v>0</v>
      </c>
      <c r="DA746" s="1305"/>
      <c r="DB746" s="1305"/>
      <c r="DC746" s="1305"/>
      <c r="DD746" s="1305"/>
      <c r="DE746" s="1305">
        <f t="shared" si="21"/>
        <v>0</v>
      </c>
      <c r="DF746" s="1305"/>
      <c r="DG746" s="1305"/>
      <c r="DH746" s="1305"/>
      <c r="DI746" s="1305"/>
      <c r="DJ746" s="1305">
        <f t="shared" si="22"/>
        <v>0</v>
      </c>
      <c r="DK746" s="1305"/>
      <c r="DL746" s="1305"/>
      <c r="DM746" s="1305"/>
      <c r="DN746" s="1305"/>
      <c r="DO746" s="1305">
        <f t="shared" si="23"/>
        <v>0</v>
      </c>
      <c r="DP746" s="1305"/>
      <c r="DQ746" s="1305"/>
      <c r="DR746" s="1305"/>
      <c r="DS746" s="1305"/>
      <c r="DT746" s="1068"/>
      <c r="DU746" s="1319">
        <f t="shared" si="24"/>
        <v>0</v>
      </c>
      <c r="DV746" s="1319"/>
      <c r="DW746" s="1319"/>
      <c r="DX746" s="1319"/>
      <c r="DY746" s="1319"/>
      <c r="DZ746" s="1319">
        <f t="shared" si="25"/>
        <v>0</v>
      </c>
      <c r="EA746" s="1319"/>
      <c r="EB746" s="1319"/>
      <c r="EC746" s="1319"/>
      <c r="ED746" s="1319"/>
      <c r="EE746" s="1319">
        <f t="shared" si="26"/>
        <v>0</v>
      </c>
      <c r="EF746" s="1319"/>
      <c r="EG746" s="1319"/>
      <c r="EH746" s="1319"/>
      <c r="EI746" s="1319"/>
      <c r="EJ746" s="1319">
        <f t="shared" si="27"/>
        <v>0</v>
      </c>
      <c r="EK746" s="1319"/>
      <c r="EL746" s="1319"/>
      <c r="EM746" s="1319"/>
      <c r="EN746" s="1319"/>
      <c r="EO746" s="1319">
        <f t="shared" si="28"/>
        <v>0</v>
      </c>
      <c r="EP746" s="1319"/>
      <c r="EQ746" s="1319"/>
      <c r="ER746" s="1319"/>
      <c r="ES746" s="1319"/>
      <c r="ET746" s="1319">
        <f t="shared" si="29"/>
        <v>0</v>
      </c>
      <c r="EU746" s="1319"/>
      <c r="EV746" s="1319"/>
      <c r="EW746" s="1319"/>
      <c r="EX746" s="1319"/>
      <c r="EZ746" s="1292" t="str">
        <f t="shared" si="30"/>
        <v/>
      </c>
      <c r="FA746" s="1293"/>
      <c r="FB746" s="1293"/>
      <c r="FC746" s="1293"/>
      <c r="FD746" s="1294"/>
      <c r="FE746" s="1292" t="str">
        <f t="shared" si="31"/>
        <v/>
      </c>
      <c r="FF746" s="1293"/>
      <c r="FG746" s="1293"/>
      <c r="FH746" s="1293"/>
      <c r="FI746" s="1294"/>
      <c r="FJ746" s="1292" t="str">
        <f t="shared" si="32"/>
        <v/>
      </c>
      <c r="FK746" s="1293"/>
      <c r="FL746" s="1293"/>
      <c r="FM746" s="1293"/>
      <c r="FN746" s="1294"/>
      <c r="FO746" s="1292" t="str">
        <f t="shared" si="33"/>
        <v/>
      </c>
      <c r="FP746" s="1293"/>
      <c r="FQ746" s="1293"/>
      <c r="FR746" s="1293"/>
      <c r="FS746" s="1294"/>
      <c r="FT746" s="1292" t="str">
        <f t="shared" si="34"/>
        <v/>
      </c>
      <c r="FU746" s="1293"/>
      <c r="FV746" s="1293"/>
      <c r="FW746" s="1293"/>
      <c r="FX746" s="1294"/>
      <c r="FY746" s="1292" t="str">
        <f t="shared" si="35"/>
        <v/>
      </c>
      <c r="FZ746" s="1293"/>
      <c r="GA746" s="1293"/>
      <c r="GB746" s="1293"/>
      <c r="GC746" s="1294"/>
    </row>
    <row r="747" spans="1:185" ht="13" customHeight="1">
      <c r="B747" s="1306"/>
      <c r="C747" s="1307"/>
      <c r="D747" s="1307"/>
      <c r="E747" s="1307"/>
      <c r="F747" s="1308"/>
      <c r="G747" s="1315"/>
      <c r="H747" s="1316"/>
      <c r="I747" s="1316"/>
      <c r="J747" s="1317"/>
      <c r="K747" s="1538"/>
      <c r="L747" s="1539"/>
      <c r="M747" s="1539"/>
      <c r="N747" s="1540"/>
      <c r="O747" s="1404"/>
      <c r="P747" s="1405"/>
      <c r="Q747" s="1405"/>
      <c r="R747" s="1405"/>
      <c r="S747" s="1406"/>
      <c r="T747" s="1404"/>
      <c r="U747" s="1405"/>
      <c r="V747" s="1405"/>
      <c r="W747" s="1406"/>
      <c r="X747" s="1309">
        <f t="shared" si="39"/>
        <v>0</v>
      </c>
      <c r="Y747" s="1310"/>
      <c r="Z747" s="1310"/>
      <c r="AA747" s="1310"/>
      <c r="AB747" s="1311"/>
      <c r="AC747" s="1544"/>
      <c r="AD747" s="1545"/>
      <c r="AE747" s="1545"/>
      <c r="AF747" s="1545"/>
      <c r="AG747" s="1546"/>
      <c r="AH747" s="1312" t="str">
        <f t="shared" si="36"/>
        <v/>
      </c>
      <c r="AI747" s="1313"/>
      <c r="AJ747" s="1314"/>
      <c r="AK747" s="1306" t="s">
        <v>800</v>
      </c>
      <c r="AL747" s="1307"/>
      <c r="AM747" s="1307"/>
      <c r="AN747" s="1307"/>
      <c r="AO747" s="1308"/>
      <c r="AP747" s="2"/>
      <c r="AQ747" s="2"/>
      <c r="AR747" s="2"/>
      <c r="AS747" s="2"/>
      <c r="AY747" s="762"/>
      <c r="AZ747" s="68" t="str">
        <f t="shared" si="9"/>
        <v>N/A</v>
      </c>
      <c r="BA747" s="2"/>
      <c r="BB747" s="2"/>
      <c r="BC747" s="2"/>
      <c r="BD747" s="2"/>
      <c r="BE747" s="2"/>
      <c r="BF747" s="178">
        <f t="shared" si="10"/>
        <v>0</v>
      </c>
      <c r="BG747" s="181">
        <f t="shared" si="11"/>
        <v>0</v>
      </c>
      <c r="BH747" s="182" t="str">
        <f t="shared" si="12"/>
        <v/>
      </c>
      <c r="BI747" s="2"/>
      <c r="BJ747" s="2"/>
      <c r="BK747" s="2"/>
      <c r="BL747" s="2"/>
      <c r="BM747" s="2"/>
      <c r="BN747" s="2"/>
      <c r="BS747" s="178">
        <f t="shared" si="13"/>
        <v>0</v>
      </c>
      <c r="BT747" s="181">
        <f t="shared" si="14"/>
        <v>0</v>
      </c>
      <c r="BU747" s="182" t="str">
        <f t="shared" si="15"/>
        <v/>
      </c>
      <c r="BV747" s="2"/>
      <c r="BW747" s="2"/>
      <c r="BX747" s="2"/>
      <c r="BY747" s="2"/>
      <c r="BZ747" s="2"/>
      <c r="CA747" s="2"/>
      <c r="CB747" s="2"/>
      <c r="CC747" s="2"/>
      <c r="CE747" s="2"/>
      <c r="CF747" s="2"/>
      <c r="CG747" s="1292">
        <f t="shared" si="37"/>
        <v>0</v>
      </c>
      <c r="CH747" s="1294"/>
      <c r="CI747" s="1292">
        <f t="shared" si="38"/>
        <v>0</v>
      </c>
      <c r="CJ747" s="1294"/>
      <c r="CK747" s="1292">
        <f t="shared" si="16"/>
        <v>0</v>
      </c>
      <c r="CL747" s="1294"/>
      <c r="CM747" s="1292">
        <f t="shared" si="17"/>
        <v>0</v>
      </c>
      <c r="CN747" s="1294"/>
      <c r="CO747" s="2"/>
      <c r="CP747" s="1289">
        <f t="shared" si="18"/>
        <v>0</v>
      </c>
      <c r="CQ747" s="1290"/>
      <c r="CR747" s="1290"/>
      <c r="CS747" s="1290"/>
      <c r="CT747" s="1291"/>
      <c r="CU747" s="1305">
        <f t="shared" si="19"/>
        <v>0</v>
      </c>
      <c r="CV747" s="1305"/>
      <c r="CW747" s="1305"/>
      <c r="CX747" s="1305"/>
      <c r="CY747" s="1305"/>
      <c r="CZ747" s="1305">
        <f t="shared" si="20"/>
        <v>0</v>
      </c>
      <c r="DA747" s="1305"/>
      <c r="DB747" s="1305"/>
      <c r="DC747" s="1305"/>
      <c r="DD747" s="1305"/>
      <c r="DE747" s="1305">
        <f t="shared" si="21"/>
        <v>0</v>
      </c>
      <c r="DF747" s="1305"/>
      <c r="DG747" s="1305"/>
      <c r="DH747" s="1305"/>
      <c r="DI747" s="1305"/>
      <c r="DJ747" s="1305">
        <f t="shared" si="22"/>
        <v>0</v>
      </c>
      <c r="DK747" s="1305"/>
      <c r="DL747" s="1305"/>
      <c r="DM747" s="1305"/>
      <c r="DN747" s="1305"/>
      <c r="DO747" s="1305">
        <f t="shared" si="23"/>
        <v>0</v>
      </c>
      <c r="DP747" s="1305"/>
      <c r="DQ747" s="1305"/>
      <c r="DR747" s="1305"/>
      <c r="DS747" s="1305"/>
      <c r="DT747" s="1068"/>
      <c r="DU747" s="1319">
        <f t="shared" si="24"/>
        <v>0</v>
      </c>
      <c r="DV747" s="1319"/>
      <c r="DW747" s="1319"/>
      <c r="DX747" s="1319"/>
      <c r="DY747" s="1319"/>
      <c r="DZ747" s="1319">
        <f t="shared" si="25"/>
        <v>0</v>
      </c>
      <c r="EA747" s="1319"/>
      <c r="EB747" s="1319"/>
      <c r="EC747" s="1319"/>
      <c r="ED747" s="1319"/>
      <c r="EE747" s="1319">
        <f t="shared" si="26"/>
        <v>0</v>
      </c>
      <c r="EF747" s="1319"/>
      <c r="EG747" s="1319"/>
      <c r="EH747" s="1319"/>
      <c r="EI747" s="1319"/>
      <c r="EJ747" s="1319">
        <f t="shared" si="27"/>
        <v>0</v>
      </c>
      <c r="EK747" s="1319"/>
      <c r="EL747" s="1319"/>
      <c r="EM747" s="1319"/>
      <c r="EN747" s="1319"/>
      <c r="EO747" s="1319">
        <f t="shared" si="28"/>
        <v>0</v>
      </c>
      <c r="EP747" s="1319"/>
      <c r="EQ747" s="1319"/>
      <c r="ER747" s="1319"/>
      <c r="ES747" s="1319"/>
      <c r="ET747" s="1319">
        <f t="shared" si="29"/>
        <v>0</v>
      </c>
      <c r="EU747" s="1319"/>
      <c r="EV747" s="1319"/>
      <c r="EW747" s="1319"/>
      <c r="EX747" s="1319"/>
      <c r="EZ747" s="1292" t="str">
        <f t="shared" si="30"/>
        <v/>
      </c>
      <c r="FA747" s="1293"/>
      <c r="FB747" s="1293"/>
      <c r="FC747" s="1293"/>
      <c r="FD747" s="1294"/>
      <c r="FE747" s="1292" t="str">
        <f t="shared" si="31"/>
        <v/>
      </c>
      <c r="FF747" s="1293"/>
      <c r="FG747" s="1293"/>
      <c r="FH747" s="1293"/>
      <c r="FI747" s="1294"/>
      <c r="FJ747" s="1292" t="str">
        <f t="shared" si="32"/>
        <v/>
      </c>
      <c r="FK747" s="1293"/>
      <c r="FL747" s="1293"/>
      <c r="FM747" s="1293"/>
      <c r="FN747" s="1294"/>
      <c r="FO747" s="1292" t="str">
        <f t="shared" si="33"/>
        <v/>
      </c>
      <c r="FP747" s="1293"/>
      <c r="FQ747" s="1293"/>
      <c r="FR747" s="1293"/>
      <c r="FS747" s="1294"/>
      <c r="FT747" s="1292" t="str">
        <f t="shared" si="34"/>
        <v/>
      </c>
      <c r="FU747" s="1293"/>
      <c r="FV747" s="1293"/>
      <c r="FW747" s="1293"/>
      <c r="FX747" s="1294"/>
      <c r="FY747" s="1292" t="str">
        <f t="shared" si="35"/>
        <v/>
      </c>
      <c r="FZ747" s="1293"/>
      <c r="GA747" s="1293"/>
      <c r="GB747" s="1293"/>
      <c r="GC747" s="1294"/>
    </row>
    <row r="748" spans="1:185" s="2" customFormat="1" ht="13" customHeight="1">
      <c r="A748"/>
      <c r="B748" s="1306"/>
      <c r="C748" s="1307"/>
      <c r="D748" s="1307"/>
      <c r="E748" s="1307"/>
      <c r="F748" s="1308"/>
      <c r="G748" s="1315"/>
      <c r="H748" s="1316"/>
      <c r="I748" s="1316"/>
      <c r="J748" s="1317"/>
      <c r="K748" s="1538"/>
      <c r="L748" s="1539"/>
      <c r="M748" s="1539"/>
      <c r="N748" s="1540"/>
      <c r="O748" s="1404"/>
      <c r="P748" s="1405"/>
      <c r="Q748" s="1405"/>
      <c r="R748" s="1405"/>
      <c r="S748" s="1406"/>
      <c r="T748" s="1404"/>
      <c r="U748" s="1405"/>
      <c r="V748" s="1405"/>
      <c r="W748" s="1406"/>
      <c r="X748" s="1309">
        <f t="shared" si="39"/>
        <v>0</v>
      </c>
      <c r="Y748" s="1310"/>
      <c r="Z748" s="1310"/>
      <c r="AA748" s="1310"/>
      <c r="AB748" s="1311"/>
      <c r="AC748" s="1544"/>
      <c r="AD748" s="1545"/>
      <c r="AE748" s="1545"/>
      <c r="AF748" s="1545"/>
      <c r="AG748" s="1546"/>
      <c r="AH748" s="1312" t="str">
        <f t="shared" si="36"/>
        <v/>
      </c>
      <c r="AI748" s="1313"/>
      <c r="AJ748" s="1314"/>
      <c r="AK748" s="1306" t="s">
        <v>800</v>
      </c>
      <c r="AL748" s="1307"/>
      <c r="AM748" s="1307"/>
      <c r="AN748" s="1307"/>
      <c r="AO748" s="1308"/>
      <c r="AT748"/>
      <c r="AU748"/>
      <c r="AV748"/>
      <c r="AW748"/>
      <c r="AX748"/>
      <c r="AY748" s="762"/>
      <c r="AZ748" s="68" t="str">
        <f t="shared" si="9"/>
        <v>N/A</v>
      </c>
      <c r="BF748" s="178">
        <f t="shared" si="10"/>
        <v>0</v>
      </c>
      <c r="BG748" s="181">
        <f t="shared" si="11"/>
        <v>0</v>
      </c>
      <c r="BH748" s="182" t="str">
        <f t="shared" si="12"/>
        <v/>
      </c>
      <c r="BO748"/>
      <c r="BP748"/>
      <c r="BQ748"/>
      <c r="BR748"/>
      <c r="BS748" s="178">
        <f t="shared" si="13"/>
        <v>0</v>
      </c>
      <c r="BT748" s="181">
        <f t="shared" si="14"/>
        <v>0</v>
      </c>
      <c r="BU748" s="182" t="str">
        <f t="shared" si="15"/>
        <v/>
      </c>
      <c r="CD748"/>
      <c r="CG748" s="1292">
        <f t="shared" si="37"/>
        <v>0</v>
      </c>
      <c r="CH748" s="1294"/>
      <c r="CI748" s="1292">
        <f t="shared" si="38"/>
        <v>0</v>
      </c>
      <c r="CJ748" s="1294"/>
      <c r="CK748" s="1292">
        <f t="shared" si="16"/>
        <v>0</v>
      </c>
      <c r="CL748" s="1294"/>
      <c r="CM748" s="1292">
        <f t="shared" si="17"/>
        <v>0</v>
      </c>
      <c r="CN748" s="1294"/>
      <c r="CP748" s="1289">
        <f t="shared" si="18"/>
        <v>0</v>
      </c>
      <c r="CQ748" s="1290"/>
      <c r="CR748" s="1290"/>
      <c r="CS748" s="1290"/>
      <c r="CT748" s="1291"/>
      <c r="CU748" s="1305">
        <f t="shared" si="19"/>
        <v>0</v>
      </c>
      <c r="CV748" s="1305"/>
      <c r="CW748" s="1305"/>
      <c r="CX748" s="1305"/>
      <c r="CY748" s="1305"/>
      <c r="CZ748" s="1305">
        <f t="shared" si="20"/>
        <v>0</v>
      </c>
      <c r="DA748" s="1305"/>
      <c r="DB748" s="1305"/>
      <c r="DC748" s="1305"/>
      <c r="DD748" s="1305"/>
      <c r="DE748" s="1305">
        <f t="shared" si="21"/>
        <v>0</v>
      </c>
      <c r="DF748" s="1305"/>
      <c r="DG748" s="1305"/>
      <c r="DH748" s="1305"/>
      <c r="DI748" s="1305"/>
      <c r="DJ748" s="1305">
        <f t="shared" si="22"/>
        <v>0</v>
      </c>
      <c r="DK748" s="1305"/>
      <c r="DL748" s="1305"/>
      <c r="DM748" s="1305"/>
      <c r="DN748" s="1305"/>
      <c r="DO748" s="1305">
        <f t="shared" si="23"/>
        <v>0</v>
      </c>
      <c r="DP748" s="1305"/>
      <c r="DQ748" s="1305"/>
      <c r="DR748" s="1305"/>
      <c r="DS748" s="1305"/>
      <c r="DT748" s="1068"/>
      <c r="DU748" s="1319">
        <f t="shared" si="24"/>
        <v>0</v>
      </c>
      <c r="DV748" s="1319"/>
      <c r="DW748" s="1319"/>
      <c r="DX748" s="1319"/>
      <c r="DY748" s="1319"/>
      <c r="DZ748" s="1319">
        <f t="shared" si="25"/>
        <v>0</v>
      </c>
      <c r="EA748" s="1319"/>
      <c r="EB748" s="1319"/>
      <c r="EC748" s="1319"/>
      <c r="ED748" s="1319"/>
      <c r="EE748" s="1319">
        <f t="shared" si="26"/>
        <v>0</v>
      </c>
      <c r="EF748" s="1319"/>
      <c r="EG748" s="1319"/>
      <c r="EH748" s="1319"/>
      <c r="EI748" s="1319"/>
      <c r="EJ748" s="1319">
        <f t="shared" si="27"/>
        <v>0</v>
      </c>
      <c r="EK748" s="1319"/>
      <c r="EL748" s="1319"/>
      <c r="EM748" s="1319"/>
      <c r="EN748" s="1319"/>
      <c r="EO748" s="1319">
        <f t="shared" si="28"/>
        <v>0</v>
      </c>
      <c r="EP748" s="1319"/>
      <c r="EQ748" s="1319"/>
      <c r="ER748" s="1319"/>
      <c r="ES748" s="1319"/>
      <c r="ET748" s="1319">
        <f t="shared" si="29"/>
        <v>0</v>
      </c>
      <c r="EU748" s="1319"/>
      <c r="EV748" s="1319"/>
      <c r="EW748" s="1319"/>
      <c r="EX748" s="1319"/>
      <c r="EY748"/>
      <c r="EZ748" s="1292" t="str">
        <f t="shared" si="30"/>
        <v/>
      </c>
      <c r="FA748" s="1293"/>
      <c r="FB748" s="1293"/>
      <c r="FC748" s="1293"/>
      <c r="FD748" s="1294"/>
      <c r="FE748" s="1292" t="str">
        <f t="shared" si="31"/>
        <v/>
      </c>
      <c r="FF748" s="1293"/>
      <c r="FG748" s="1293"/>
      <c r="FH748" s="1293"/>
      <c r="FI748" s="1294"/>
      <c r="FJ748" s="1292" t="str">
        <f t="shared" si="32"/>
        <v/>
      </c>
      <c r="FK748" s="1293"/>
      <c r="FL748" s="1293"/>
      <c r="FM748" s="1293"/>
      <c r="FN748" s="1294"/>
      <c r="FO748" s="1292" t="str">
        <f t="shared" si="33"/>
        <v/>
      </c>
      <c r="FP748" s="1293"/>
      <c r="FQ748" s="1293"/>
      <c r="FR748" s="1293"/>
      <c r="FS748" s="1294"/>
      <c r="FT748" s="1292" t="str">
        <f t="shared" si="34"/>
        <v/>
      </c>
      <c r="FU748" s="1293"/>
      <c r="FV748" s="1293"/>
      <c r="FW748" s="1293"/>
      <c r="FX748" s="1294"/>
      <c r="FY748" s="1292" t="str">
        <f t="shared" si="35"/>
        <v/>
      </c>
      <c r="FZ748" s="1293"/>
      <c r="GA748" s="1293"/>
      <c r="GB748" s="1293"/>
      <c r="GC748" s="1294"/>
    </row>
    <row r="749" spans="1:185" s="2" customFormat="1" ht="13" customHeight="1">
      <c r="A749"/>
      <c r="B749" s="1306"/>
      <c r="C749" s="1307"/>
      <c r="D749" s="1307"/>
      <c r="E749" s="1307"/>
      <c r="F749" s="1308"/>
      <c r="G749" s="1315"/>
      <c r="H749" s="1316"/>
      <c r="I749" s="1316"/>
      <c r="J749" s="1317"/>
      <c r="K749" s="1538"/>
      <c r="L749" s="1539"/>
      <c r="M749" s="1539"/>
      <c r="N749" s="1540"/>
      <c r="O749" s="1404"/>
      <c r="P749" s="1405"/>
      <c r="Q749" s="1405"/>
      <c r="R749" s="1405"/>
      <c r="S749" s="1406"/>
      <c r="T749" s="1404"/>
      <c r="U749" s="1405"/>
      <c r="V749" s="1405"/>
      <c r="W749" s="1406"/>
      <c r="X749" s="1309">
        <f t="shared" si="39"/>
        <v>0</v>
      </c>
      <c r="Y749" s="1310"/>
      <c r="Z749" s="1310"/>
      <c r="AA749" s="1310"/>
      <c r="AB749" s="1311"/>
      <c r="AC749" s="1544"/>
      <c r="AD749" s="1545"/>
      <c r="AE749" s="1545"/>
      <c r="AF749" s="1545"/>
      <c r="AG749" s="1546"/>
      <c r="AH749" s="1312" t="str">
        <f t="shared" si="36"/>
        <v/>
      </c>
      <c r="AI749" s="1313"/>
      <c r="AJ749" s="1314"/>
      <c r="AK749" s="1306" t="s">
        <v>800</v>
      </c>
      <c r="AL749" s="1307"/>
      <c r="AM749" s="1307"/>
      <c r="AN749" s="1307"/>
      <c r="AO749" s="1308"/>
      <c r="AT749"/>
      <c r="AU749"/>
      <c r="AV749"/>
      <c r="AW749"/>
      <c r="AX749"/>
      <c r="AY749" s="762"/>
      <c r="AZ749" s="68" t="str">
        <f t="shared" si="9"/>
        <v>N/A</v>
      </c>
      <c r="BF749" s="178">
        <f t="shared" si="10"/>
        <v>0</v>
      </c>
      <c r="BG749" s="181">
        <f t="shared" si="11"/>
        <v>0</v>
      </c>
      <c r="BH749" s="182" t="str">
        <f t="shared" si="12"/>
        <v/>
      </c>
      <c r="BO749"/>
      <c r="BP749"/>
      <c r="BQ749"/>
      <c r="BR749"/>
      <c r="BS749" s="178">
        <f t="shared" si="13"/>
        <v>0</v>
      </c>
      <c r="BT749" s="181">
        <f t="shared" si="14"/>
        <v>0</v>
      </c>
      <c r="BU749" s="182" t="str">
        <f t="shared" si="15"/>
        <v/>
      </c>
      <c r="CD749"/>
      <c r="CG749" s="1292">
        <f t="shared" si="37"/>
        <v>0</v>
      </c>
      <c r="CH749" s="1294"/>
      <c r="CI749" s="1292">
        <f t="shared" si="38"/>
        <v>0</v>
      </c>
      <c r="CJ749" s="1294"/>
      <c r="CK749" s="1292">
        <f t="shared" si="16"/>
        <v>0</v>
      </c>
      <c r="CL749" s="1294"/>
      <c r="CM749" s="1292">
        <f t="shared" si="17"/>
        <v>0</v>
      </c>
      <c r="CN749" s="1294"/>
      <c r="CP749" s="1289">
        <f t="shared" si="18"/>
        <v>0</v>
      </c>
      <c r="CQ749" s="1290"/>
      <c r="CR749" s="1290"/>
      <c r="CS749" s="1290"/>
      <c r="CT749" s="1291"/>
      <c r="CU749" s="1305">
        <f t="shared" si="19"/>
        <v>0</v>
      </c>
      <c r="CV749" s="1305"/>
      <c r="CW749" s="1305"/>
      <c r="CX749" s="1305"/>
      <c r="CY749" s="1305"/>
      <c r="CZ749" s="1305">
        <f t="shared" si="20"/>
        <v>0</v>
      </c>
      <c r="DA749" s="1305"/>
      <c r="DB749" s="1305"/>
      <c r="DC749" s="1305"/>
      <c r="DD749" s="1305"/>
      <c r="DE749" s="1305">
        <f t="shared" si="21"/>
        <v>0</v>
      </c>
      <c r="DF749" s="1305"/>
      <c r="DG749" s="1305"/>
      <c r="DH749" s="1305"/>
      <c r="DI749" s="1305"/>
      <c r="DJ749" s="1305">
        <f t="shared" si="22"/>
        <v>0</v>
      </c>
      <c r="DK749" s="1305"/>
      <c r="DL749" s="1305"/>
      <c r="DM749" s="1305"/>
      <c r="DN749" s="1305"/>
      <c r="DO749" s="1305">
        <f t="shared" si="23"/>
        <v>0</v>
      </c>
      <c r="DP749" s="1305"/>
      <c r="DQ749" s="1305"/>
      <c r="DR749" s="1305"/>
      <c r="DS749" s="1305"/>
      <c r="DT749" s="1068"/>
      <c r="DU749" s="1319">
        <f t="shared" si="24"/>
        <v>0</v>
      </c>
      <c r="DV749" s="1319"/>
      <c r="DW749" s="1319"/>
      <c r="DX749" s="1319"/>
      <c r="DY749" s="1319"/>
      <c r="DZ749" s="1319">
        <f t="shared" si="25"/>
        <v>0</v>
      </c>
      <c r="EA749" s="1319"/>
      <c r="EB749" s="1319"/>
      <c r="EC749" s="1319"/>
      <c r="ED749" s="1319"/>
      <c r="EE749" s="1319">
        <f t="shared" si="26"/>
        <v>0</v>
      </c>
      <c r="EF749" s="1319"/>
      <c r="EG749" s="1319"/>
      <c r="EH749" s="1319"/>
      <c r="EI749" s="1319"/>
      <c r="EJ749" s="1319">
        <f t="shared" si="27"/>
        <v>0</v>
      </c>
      <c r="EK749" s="1319"/>
      <c r="EL749" s="1319"/>
      <c r="EM749" s="1319"/>
      <c r="EN749" s="1319"/>
      <c r="EO749" s="1319">
        <f t="shared" si="28"/>
        <v>0</v>
      </c>
      <c r="EP749" s="1319"/>
      <c r="EQ749" s="1319"/>
      <c r="ER749" s="1319"/>
      <c r="ES749" s="1319"/>
      <c r="ET749" s="1319">
        <f t="shared" si="29"/>
        <v>0</v>
      </c>
      <c r="EU749" s="1319"/>
      <c r="EV749" s="1319"/>
      <c r="EW749" s="1319"/>
      <c r="EX749" s="1319"/>
      <c r="EY749"/>
      <c r="EZ749" s="1292" t="str">
        <f t="shared" si="30"/>
        <v/>
      </c>
      <c r="FA749" s="1293"/>
      <c r="FB749" s="1293"/>
      <c r="FC749" s="1293"/>
      <c r="FD749" s="1294"/>
      <c r="FE749" s="1292" t="str">
        <f t="shared" si="31"/>
        <v/>
      </c>
      <c r="FF749" s="1293"/>
      <c r="FG749" s="1293"/>
      <c r="FH749" s="1293"/>
      <c r="FI749" s="1294"/>
      <c r="FJ749" s="1292" t="str">
        <f t="shared" si="32"/>
        <v/>
      </c>
      <c r="FK749" s="1293"/>
      <c r="FL749" s="1293"/>
      <c r="FM749" s="1293"/>
      <c r="FN749" s="1294"/>
      <c r="FO749" s="1292" t="str">
        <f t="shared" si="33"/>
        <v/>
      </c>
      <c r="FP749" s="1293"/>
      <c r="FQ749" s="1293"/>
      <c r="FR749" s="1293"/>
      <c r="FS749" s="1294"/>
      <c r="FT749" s="1292" t="str">
        <f t="shared" si="34"/>
        <v/>
      </c>
      <c r="FU749" s="1293"/>
      <c r="FV749" s="1293"/>
      <c r="FW749" s="1293"/>
      <c r="FX749" s="1294"/>
      <c r="FY749" s="1292" t="str">
        <f t="shared" si="35"/>
        <v/>
      </c>
      <c r="FZ749" s="1293"/>
      <c r="GA749" s="1293"/>
      <c r="GB749" s="1293"/>
      <c r="GC749" s="1294"/>
    </row>
    <row r="750" spans="1:185" s="2" customFormat="1" ht="13" customHeight="1">
      <c r="A750"/>
      <c r="B750" s="1306"/>
      <c r="C750" s="1307"/>
      <c r="D750" s="1307"/>
      <c r="E750" s="1307"/>
      <c r="F750" s="1308"/>
      <c r="G750" s="1315"/>
      <c r="H750" s="1316"/>
      <c r="I750" s="1316"/>
      <c r="J750" s="1317"/>
      <c r="K750" s="1538"/>
      <c r="L750" s="1539"/>
      <c r="M750" s="1539"/>
      <c r="N750" s="1540"/>
      <c r="O750" s="1404"/>
      <c r="P750" s="1405"/>
      <c r="Q750" s="1405"/>
      <c r="R750" s="1405"/>
      <c r="S750" s="1406"/>
      <c r="T750" s="1404"/>
      <c r="U750" s="1405"/>
      <c r="V750" s="1405"/>
      <c r="W750" s="1406"/>
      <c r="X750" s="1309">
        <f t="shared" si="39"/>
        <v>0</v>
      </c>
      <c r="Y750" s="1310"/>
      <c r="Z750" s="1310"/>
      <c r="AA750" s="1310"/>
      <c r="AB750" s="1311"/>
      <c r="AC750" s="1544"/>
      <c r="AD750" s="1545"/>
      <c r="AE750" s="1545"/>
      <c r="AF750" s="1545"/>
      <c r="AG750" s="1546"/>
      <c r="AH750" s="1312" t="str">
        <f t="shared" si="36"/>
        <v/>
      </c>
      <c r="AI750" s="1313"/>
      <c r="AJ750" s="1314"/>
      <c r="AK750" s="1306" t="s">
        <v>800</v>
      </c>
      <c r="AL750" s="1307"/>
      <c r="AM750" s="1307"/>
      <c r="AN750" s="1307"/>
      <c r="AO750" s="1308"/>
      <c r="AT750"/>
      <c r="AU750"/>
      <c r="AV750"/>
      <c r="AW750"/>
      <c r="AX750"/>
      <c r="AY750"/>
      <c r="AZ750" s="68" t="str">
        <f t="shared" si="9"/>
        <v>N/A</v>
      </c>
      <c r="BF750" s="178">
        <f t="shared" si="10"/>
        <v>0</v>
      </c>
      <c r="BG750" s="181">
        <f t="shared" si="11"/>
        <v>0</v>
      </c>
      <c r="BH750" s="182" t="str">
        <f t="shared" si="12"/>
        <v/>
      </c>
      <c r="BO750"/>
      <c r="BP750"/>
      <c r="BQ750"/>
      <c r="BR750"/>
      <c r="BS750" s="178">
        <f t="shared" si="13"/>
        <v>0</v>
      </c>
      <c r="BT750" s="181">
        <f t="shared" si="14"/>
        <v>0</v>
      </c>
      <c r="BU750" s="182" t="str">
        <f t="shared" si="15"/>
        <v/>
      </c>
      <c r="CD750"/>
      <c r="CG750" s="1292">
        <f t="shared" si="37"/>
        <v>0</v>
      </c>
      <c r="CH750" s="1294"/>
      <c r="CI750" s="1292">
        <f t="shared" si="38"/>
        <v>0</v>
      </c>
      <c r="CJ750" s="1294"/>
      <c r="CK750" s="1292">
        <f t="shared" si="16"/>
        <v>0</v>
      </c>
      <c r="CL750" s="1294"/>
      <c r="CM750" s="1292">
        <f t="shared" si="17"/>
        <v>0</v>
      </c>
      <c r="CN750" s="1294"/>
      <c r="CP750" s="1289">
        <f t="shared" si="18"/>
        <v>0</v>
      </c>
      <c r="CQ750" s="1290"/>
      <c r="CR750" s="1290"/>
      <c r="CS750" s="1290"/>
      <c r="CT750" s="1291"/>
      <c r="CU750" s="1305">
        <f t="shared" si="19"/>
        <v>0</v>
      </c>
      <c r="CV750" s="1305"/>
      <c r="CW750" s="1305"/>
      <c r="CX750" s="1305"/>
      <c r="CY750" s="1305"/>
      <c r="CZ750" s="1305">
        <f t="shared" si="20"/>
        <v>0</v>
      </c>
      <c r="DA750" s="1305"/>
      <c r="DB750" s="1305"/>
      <c r="DC750" s="1305"/>
      <c r="DD750" s="1305"/>
      <c r="DE750" s="1305">
        <f t="shared" si="21"/>
        <v>0</v>
      </c>
      <c r="DF750" s="1305"/>
      <c r="DG750" s="1305"/>
      <c r="DH750" s="1305"/>
      <c r="DI750" s="1305"/>
      <c r="DJ750" s="1305">
        <f t="shared" si="22"/>
        <v>0</v>
      </c>
      <c r="DK750" s="1305"/>
      <c r="DL750" s="1305"/>
      <c r="DM750" s="1305"/>
      <c r="DN750" s="1305"/>
      <c r="DO750" s="1305">
        <f t="shared" si="23"/>
        <v>0</v>
      </c>
      <c r="DP750" s="1305"/>
      <c r="DQ750" s="1305"/>
      <c r="DR750" s="1305"/>
      <c r="DS750" s="1305"/>
      <c r="DT750" s="1068"/>
      <c r="DU750" s="1319">
        <f t="shared" si="24"/>
        <v>0</v>
      </c>
      <c r="DV750" s="1319"/>
      <c r="DW750" s="1319"/>
      <c r="DX750" s="1319"/>
      <c r="DY750" s="1319"/>
      <c r="DZ750" s="1319">
        <f t="shared" si="25"/>
        <v>0</v>
      </c>
      <c r="EA750" s="1319"/>
      <c r="EB750" s="1319"/>
      <c r="EC750" s="1319"/>
      <c r="ED750" s="1319"/>
      <c r="EE750" s="1319">
        <f t="shared" si="26"/>
        <v>0</v>
      </c>
      <c r="EF750" s="1319"/>
      <c r="EG750" s="1319"/>
      <c r="EH750" s="1319"/>
      <c r="EI750" s="1319"/>
      <c r="EJ750" s="1319">
        <f t="shared" si="27"/>
        <v>0</v>
      </c>
      <c r="EK750" s="1319"/>
      <c r="EL750" s="1319"/>
      <c r="EM750" s="1319"/>
      <c r="EN750" s="1319"/>
      <c r="EO750" s="1319">
        <f t="shared" si="28"/>
        <v>0</v>
      </c>
      <c r="EP750" s="1319"/>
      <c r="EQ750" s="1319"/>
      <c r="ER750" s="1319"/>
      <c r="ES750" s="1319"/>
      <c r="ET750" s="1319">
        <f t="shared" si="29"/>
        <v>0</v>
      </c>
      <c r="EU750" s="1319"/>
      <c r="EV750" s="1319"/>
      <c r="EW750" s="1319"/>
      <c r="EX750" s="1319"/>
      <c r="EY750"/>
      <c r="EZ750" s="1292" t="str">
        <f t="shared" si="30"/>
        <v/>
      </c>
      <c r="FA750" s="1293"/>
      <c r="FB750" s="1293"/>
      <c r="FC750" s="1293"/>
      <c r="FD750" s="1294"/>
      <c r="FE750" s="1292" t="str">
        <f t="shared" si="31"/>
        <v/>
      </c>
      <c r="FF750" s="1293"/>
      <c r="FG750" s="1293"/>
      <c r="FH750" s="1293"/>
      <c r="FI750" s="1294"/>
      <c r="FJ750" s="1292" t="str">
        <f t="shared" si="32"/>
        <v/>
      </c>
      <c r="FK750" s="1293"/>
      <c r="FL750" s="1293"/>
      <c r="FM750" s="1293"/>
      <c r="FN750" s="1294"/>
      <c r="FO750" s="1292" t="str">
        <f t="shared" si="33"/>
        <v/>
      </c>
      <c r="FP750" s="1293"/>
      <c r="FQ750" s="1293"/>
      <c r="FR750" s="1293"/>
      <c r="FS750" s="1294"/>
      <c r="FT750" s="1292" t="str">
        <f t="shared" si="34"/>
        <v/>
      </c>
      <c r="FU750" s="1293"/>
      <c r="FV750" s="1293"/>
      <c r="FW750" s="1293"/>
      <c r="FX750" s="1294"/>
      <c r="FY750" s="1292" t="str">
        <f t="shared" si="35"/>
        <v/>
      </c>
      <c r="FZ750" s="1293"/>
      <c r="GA750" s="1293"/>
      <c r="GB750" s="1293"/>
      <c r="GC750" s="1294"/>
    </row>
    <row r="751" spans="1:185" s="2" customFormat="1" ht="13" customHeight="1">
      <c r="A751"/>
      <c r="B751" s="1306"/>
      <c r="C751" s="1307"/>
      <c r="D751" s="1307"/>
      <c r="E751" s="1307"/>
      <c r="F751" s="1308"/>
      <c r="G751" s="1315"/>
      <c r="H751" s="1316"/>
      <c r="I751" s="1316"/>
      <c r="J751" s="1317"/>
      <c r="K751" s="1538"/>
      <c r="L751" s="1539"/>
      <c r="M751" s="1539"/>
      <c r="N751" s="1540"/>
      <c r="O751" s="1404"/>
      <c r="P751" s="1405"/>
      <c r="Q751" s="1405"/>
      <c r="R751" s="1405"/>
      <c r="S751" s="1406"/>
      <c r="T751" s="1404"/>
      <c r="U751" s="1405"/>
      <c r="V751" s="1405"/>
      <c r="W751" s="1406"/>
      <c r="X751" s="1309">
        <f t="shared" si="39"/>
        <v>0</v>
      </c>
      <c r="Y751" s="1310"/>
      <c r="Z751" s="1310"/>
      <c r="AA751" s="1310"/>
      <c r="AB751" s="1311"/>
      <c r="AC751" s="1544"/>
      <c r="AD751" s="1545"/>
      <c r="AE751" s="1545"/>
      <c r="AF751" s="1545"/>
      <c r="AG751" s="1546"/>
      <c r="AH751" s="1312" t="str">
        <f t="shared" si="36"/>
        <v/>
      </c>
      <c r="AI751" s="1313"/>
      <c r="AJ751" s="1314"/>
      <c r="AK751" s="1306" t="s">
        <v>800</v>
      </c>
      <c r="AL751" s="1307"/>
      <c r="AM751" s="1307"/>
      <c r="AN751" s="1307"/>
      <c r="AO751" s="1308"/>
      <c r="AT751"/>
      <c r="AU751"/>
      <c r="AV751"/>
      <c r="AW751"/>
      <c r="AX751"/>
      <c r="AY751"/>
      <c r="AZ751" s="68" t="str">
        <f t="shared" si="9"/>
        <v>N/A</v>
      </c>
      <c r="BF751" s="178">
        <f t="shared" si="10"/>
        <v>0</v>
      </c>
      <c r="BG751" s="181">
        <f t="shared" si="11"/>
        <v>0</v>
      </c>
      <c r="BH751" s="182" t="str">
        <f t="shared" si="12"/>
        <v/>
      </c>
      <c r="BO751"/>
      <c r="BP751"/>
      <c r="BQ751"/>
      <c r="BR751"/>
      <c r="BS751" s="178">
        <f t="shared" si="13"/>
        <v>0</v>
      </c>
      <c r="BT751" s="181">
        <f t="shared" si="14"/>
        <v>0</v>
      </c>
      <c r="BU751" s="182" t="str">
        <f t="shared" si="15"/>
        <v/>
      </c>
      <c r="CD751"/>
      <c r="CG751" s="1292">
        <f t="shared" si="37"/>
        <v>0</v>
      </c>
      <c r="CH751" s="1294"/>
      <c r="CI751" s="1292">
        <f t="shared" si="38"/>
        <v>0</v>
      </c>
      <c r="CJ751" s="1294"/>
      <c r="CK751" s="1292">
        <f t="shared" si="16"/>
        <v>0</v>
      </c>
      <c r="CL751" s="1294"/>
      <c r="CM751" s="1292">
        <f t="shared" si="17"/>
        <v>0</v>
      </c>
      <c r="CN751" s="1294"/>
      <c r="CP751" s="1289">
        <f t="shared" si="18"/>
        <v>0</v>
      </c>
      <c r="CQ751" s="1290"/>
      <c r="CR751" s="1290"/>
      <c r="CS751" s="1290"/>
      <c r="CT751" s="1291"/>
      <c r="CU751" s="1305">
        <f t="shared" si="19"/>
        <v>0</v>
      </c>
      <c r="CV751" s="1305"/>
      <c r="CW751" s="1305"/>
      <c r="CX751" s="1305"/>
      <c r="CY751" s="1305"/>
      <c r="CZ751" s="1305">
        <f t="shared" si="20"/>
        <v>0</v>
      </c>
      <c r="DA751" s="1305"/>
      <c r="DB751" s="1305"/>
      <c r="DC751" s="1305"/>
      <c r="DD751" s="1305"/>
      <c r="DE751" s="1305">
        <f t="shared" si="21"/>
        <v>0</v>
      </c>
      <c r="DF751" s="1305"/>
      <c r="DG751" s="1305"/>
      <c r="DH751" s="1305"/>
      <c r="DI751" s="1305"/>
      <c r="DJ751" s="1305">
        <f t="shared" si="22"/>
        <v>0</v>
      </c>
      <c r="DK751" s="1305"/>
      <c r="DL751" s="1305"/>
      <c r="DM751" s="1305"/>
      <c r="DN751" s="1305"/>
      <c r="DO751" s="1305">
        <f t="shared" si="23"/>
        <v>0</v>
      </c>
      <c r="DP751" s="1305"/>
      <c r="DQ751" s="1305"/>
      <c r="DR751" s="1305"/>
      <c r="DS751" s="1305"/>
      <c r="DT751" s="1068"/>
      <c r="DU751" s="1319">
        <f t="shared" si="24"/>
        <v>0</v>
      </c>
      <c r="DV751" s="1319"/>
      <c r="DW751" s="1319"/>
      <c r="DX751" s="1319"/>
      <c r="DY751" s="1319"/>
      <c r="DZ751" s="1319">
        <f t="shared" si="25"/>
        <v>0</v>
      </c>
      <c r="EA751" s="1319"/>
      <c r="EB751" s="1319"/>
      <c r="EC751" s="1319"/>
      <c r="ED751" s="1319"/>
      <c r="EE751" s="1319">
        <f t="shared" si="26"/>
        <v>0</v>
      </c>
      <c r="EF751" s="1319"/>
      <c r="EG751" s="1319"/>
      <c r="EH751" s="1319"/>
      <c r="EI751" s="1319"/>
      <c r="EJ751" s="1319">
        <f t="shared" si="27"/>
        <v>0</v>
      </c>
      <c r="EK751" s="1319"/>
      <c r="EL751" s="1319"/>
      <c r="EM751" s="1319"/>
      <c r="EN751" s="1319"/>
      <c r="EO751" s="1319">
        <f t="shared" si="28"/>
        <v>0</v>
      </c>
      <c r="EP751" s="1319"/>
      <c r="EQ751" s="1319"/>
      <c r="ER751" s="1319"/>
      <c r="ES751" s="1319"/>
      <c r="ET751" s="1319">
        <f t="shared" si="29"/>
        <v>0</v>
      </c>
      <c r="EU751" s="1319"/>
      <c r="EV751" s="1319"/>
      <c r="EW751" s="1319"/>
      <c r="EX751" s="1319"/>
      <c r="EY751"/>
      <c r="EZ751" s="1292" t="str">
        <f t="shared" si="30"/>
        <v/>
      </c>
      <c r="FA751" s="1293"/>
      <c r="FB751" s="1293"/>
      <c r="FC751" s="1293"/>
      <c r="FD751" s="1294"/>
      <c r="FE751" s="1292" t="str">
        <f t="shared" si="31"/>
        <v/>
      </c>
      <c r="FF751" s="1293"/>
      <c r="FG751" s="1293"/>
      <c r="FH751" s="1293"/>
      <c r="FI751" s="1294"/>
      <c r="FJ751" s="1292" t="str">
        <f t="shared" si="32"/>
        <v/>
      </c>
      <c r="FK751" s="1293"/>
      <c r="FL751" s="1293"/>
      <c r="FM751" s="1293"/>
      <c r="FN751" s="1294"/>
      <c r="FO751" s="1292" t="str">
        <f t="shared" si="33"/>
        <v/>
      </c>
      <c r="FP751" s="1293"/>
      <c r="FQ751" s="1293"/>
      <c r="FR751" s="1293"/>
      <c r="FS751" s="1294"/>
      <c r="FT751" s="1292" t="str">
        <f t="shared" si="34"/>
        <v/>
      </c>
      <c r="FU751" s="1293"/>
      <c r="FV751" s="1293"/>
      <c r="FW751" s="1293"/>
      <c r="FX751" s="1294"/>
      <c r="FY751" s="1292" t="str">
        <f t="shared" si="35"/>
        <v/>
      </c>
      <c r="FZ751" s="1293"/>
      <c r="GA751" s="1293"/>
      <c r="GB751" s="1293"/>
      <c r="GC751" s="1294"/>
    </row>
    <row r="752" spans="1:185" s="2" customFormat="1" ht="13" customHeight="1">
      <c r="A752"/>
      <c r="B752" s="1306"/>
      <c r="C752" s="1307"/>
      <c r="D752" s="1307"/>
      <c r="E752" s="1307"/>
      <c r="F752" s="1308"/>
      <c r="G752" s="1315"/>
      <c r="H752" s="1316"/>
      <c r="I752" s="1316"/>
      <c r="J752" s="1317"/>
      <c r="K752" s="1538"/>
      <c r="L752" s="1539"/>
      <c r="M752" s="1539"/>
      <c r="N752" s="1540"/>
      <c r="O752" s="1404"/>
      <c r="P752" s="1405"/>
      <c r="Q752" s="1405"/>
      <c r="R752" s="1405"/>
      <c r="S752" s="1406"/>
      <c r="T752" s="1404"/>
      <c r="U752" s="1405"/>
      <c r="V752" s="1405"/>
      <c r="W752" s="1406"/>
      <c r="X752" s="1309">
        <f>O752+T752</f>
        <v>0</v>
      </c>
      <c r="Y752" s="1310"/>
      <c r="Z752" s="1310"/>
      <c r="AA752" s="1310"/>
      <c r="AB752" s="1311"/>
      <c r="AC752" s="1544"/>
      <c r="AD752" s="1545"/>
      <c r="AE752" s="1545"/>
      <c r="AF752" s="1545"/>
      <c r="AG752" s="1546"/>
      <c r="AH752" s="1312" t="str">
        <f t="shared" si="36"/>
        <v/>
      </c>
      <c r="AI752" s="1313"/>
      <c r="AJ752" s="1314"/>
      <c r="AK752" s="1306" t="s">
        <v>800</v>
      </c>
      <c r="AL752" s="1307"/>
      <c r="AM752" s="1307"/>
      <c r="AN752" s="1307"/>
      <c r="AO752" s="1308"/>
      <c r="AT752"/>
      <c r="AU752"/>
      <c r="AV752"/>
      <c r="AW752"/>
      <c r="AX752"/>
      <c r="AY752"/>
      <c r="AZ752" s="68" t="str">
        <f t="shared" si="9"/>
        <v>N/A</v>
      </c>
      <c r="BE752"/>
      <c r="BF752" s="178">
        <f t="shared" si="10"/>
        <v>0</v>
      </c>
      <c r="BG752" s="181">
        <f t="shared" si="11"/>
        <v>0</v>
      </c>
      <c r="BH752" s="182" t="str">
        <f t="shared" si="12"/>
        <v/>
      </c>
      <c r="BO752"/>
      <c r="BP752"/>
      <c r="BQ752"/>
      <c r="BR752"/>
      <c r="BS752" s="682">
        <f t="shared" si="13"/>
        <v>0</v>
      </c>
      <c r="BT752" s="181">
        <f t="shared" si="14"/>
        <v>0</v>
      </c>
      <c r="BU752" s="182" t="str">
        <f t="shared" si="15"/>
        <v/>
      </c>
      <c r="CD752"/>
      <c r="CG752" s="1292">
        <f t="shared" si="37"/>
        <v>0</v>
      </c>
      <c r="CH752" s="1294"/>
      <c r="CI752" s="1292">
        <f t="shared" si="38"/>
        <v>0</v>
      </c>
      <c r="CJ752" s="1294"/>
      <c r="CK752" s="1292">
        <f t="shared" si="16"/>
        <v>0</v>
      </c>
      <c r="CL752" s="1294"/>
      <c r="CM752" s="1292">
        <f t="shared" si="17"/>
        <v>0</v>
      </c>
      <c r="CN752" s="1294"/>
      <c r="CP752" s="1289">
        <f t="shared" si="18"/>
        <v>0</v>
      </c>
      <c r="CQ752" s="1290"/>
      <c r="CR752" s="1290"/>
      <c r="CS752" s="1290"/>
      <c r="CT752" s="1291"/>
      <c r="CU752" s="1305">
        <f t="shared" si="19"/>
        <v>0</v>
      </c>
      <c r="CV752" s="1305"/>
      <c r="CW752" s="1305"/>
      <c r="CX752" s="1305"/>
      <c r="CY752" s="1305"/>
      <c r="CZ752" s="1305">
        <f t="shared" si="20"/>
        <v>0</v>
      </c>
      <c r="DA752" s="1305"/>
      <c r="DB752" s="1305"/>
      <c r="DC752" s="1305"/>
      <c r="DD752" s="1305"/>
      <c r="DE752" s="1305">
        <f t="shared" si="21"/>
        <v>0</v>
      </c>
      <c r="DF752" s="1305"/>
      <c r="DG752" s="1305"/>
      <c r="DH752" s="1305"/>
      <c r="DI752" s="1305"/>
      <c r="DJ752" s="1305">
        <f t="shared" si="22"/>
        <v>0</v>
      </c>
      <c r="DK752" s="1305"/>
      <c r="DL752" s="1305"/>
      <c r="DM752" s="1305"/>
      <c r="DN752" s="1305"/>
      <c r="DO752" s="1305">
        <f t="shared" si="23"/>
        <v>0</v>
      </c>
      <c r="DP752" s="1305"/>
      <c r="DQ752" s="1305"/>
      <c r="DR752" s="1305"/>
      <c r="DS752" s="1305"/>
      <c r="DT752" s="1068"/>
      <c r="DU752" s="1319">
        <f t="shared" si="24"/>
        <v>0</v>
      </c>
      <c r="DV752" s="1319"/>
      <c r="DW752" s="1319"/>
      <c r="DX752" s="1319"/>
      <c r="DY752" s="1319"/>
      <c r="DZ752" s="1319">
        <f t="shared" si="25"/>
        <v>0</v>
      </c>
      <c r="EA752" s="1319"/>
      <c r="EB752" s="1319"/>
      <c r="EC752" s="1319"/>
      <c r="ED752" s="1319"/>
      <c r="EE752" s="1319">
        <f t="shared" si="26"/>
        <v>0</v>
      </c>
      <c r="EF752" s="1319"/>
      <c r="EG752" s="1319"/>
      <c r="EH752" s="1319"/>
      <c r="EI752" s="1319"/>
      <c r="EJ752" s="1319">
        <f t="shared" si="27"/>
        <v>0</v>
      </c>
      <c r="EK752" s="1319"/>
      <c r="EL752" s="1319"/>
      <c r="EM752" s="1319"/>
      <c r="EN752" s="1319"/>
      <c r="EO752" s="1319">
        <f t="shared" si="28"/>
        <v>0</v>
      </c>
      <c r="EP752" s="1319"/>
      <c r="EQ752" s="1319"/>
      <c r="ER752" s="1319"/>
      <c r="ES752" s="1319"/>
      <c r="ET752" s="1319">
        <f t="shared" si="29"/>
        <v>0</v>
      </c>
      <c r="EU752" s="1319"/>
      <c r="EV752" s="1319"/>
      <c r="EW752" s="1319"/>
      <c r="EX752" s="1319"/>
      <c r="EY752"/>
      <c r="EZ752" s="1292" t="str">
        <f t="shared" si="30"/>
        <v/>
      </c>
      <c r="FA752" s="1293"/>
      <c r="FB752" s="1293"/>
      <c r="FC752" s="1293"/>
      <c r="FD752" s="1294"/>
      <c r="FE752" s="1292" t="str">
        <f t="shared" si="31"/>
        <v/>
      </c>
      <c r="FF752" s="1293"/>
      <c r="FG752" s="1293"/>
      <c r="FH752" s="1293"/>
      <c r="FI752" s="1294"/>
      <c r="FJ752" s="1292" t="str">
        <f t="shared" si="32"/>
        <v/>
      </c>
      <c r="FK752" s="1293"/>
      <c r="FL752" s="1293"/>
      <c r="FM752" s="1293"/>
      <c r="FN752" s="1294"/>
      <c r="FO752" s="1292" t="str">
        <f t="shared" si="33"/>
        <v/>
      </c>
      <c r="FP752" s="1293"/>
      <c r="FQ752" s="1293"/>
      <c r="FR752" s="1293"/>
      <c r="FS752" s="1294"/>
      <c r="FT752" s="1292" t="str">
        <f t="shared" si="34"/>
        <v/>
      </c>
      <c r="FU752" s="1293"/>
      <c r="FV752" s="1293"/>
      <c r="FW752" s="1293"/>
      <c r="FX752" s="1294"/>
      <c r="FY752" s="1292" t="str">
        <f t="shared" si="35"/>
        <v/>
      </c>
      <c r="FZ752" s="1293"/>
      <c r="GA752" s="1293"/>
      <c r="GB752" s="1293"/>
      <c r="GC752" s="1294"/>
    </row>
    <row r="753" spans="1:185" s="2" customFormat="1" ht="13" customHeight="1">
      <c r="A753"/>
      <c r="B753" s="1527" t="s">
        <v>1500</v>
      </c>
      <c r="C753" s="1528"/>
      <c r="D753" s="1528"/>
      <c r="E753" s="1528"/>
      <c r="F753" s="1530"/>
      <c r="G753" s="1654">
        <f>SUM(G718:G752)</f>
        <v>79</v>
      </c>
      <c r="H753" s="1655"/>
      <c r="I753" s="1655"/>
      <c r="J753" s="1656"/>
      <c r="K753" s="711" t="s">
        <v>1501</v>
      </c>
      <c r="L753" s="4"/>
      <c r="M753" s="4"/>
      <c r="N753" s="1084"/>
      <c r="O753" s="1309">
        <f>SUMPRODUCT(G718:G752,O718:O752)</f>
        <v>57109</v>
      </c>
      <c r="P753" s="1310"/>
      <c r="Q753" s="1310"/>
      <c r="R753" s="1310"/>
      <c r="S753" s="1311"/>
      <c r="T753"/>
      <c r="U753"/>
      <c r="V753"/>
      <c r="W753"/>
      <c r="X753" s="713" t="s">
        <v>1502</v>
      </c>
      <c r="Y753" s="712"/>
      <c r="Z753" s="712"/>
      <c r="AA753" s="712"/>
      <c r="AB753" s="714"/>
      <c r="AC753" s="1548">
        <f>BH753</f>
        <v>0.48607594936708859</v>
      </c>
      <c r="AD753" s="1549"/>
      <c r="AE753" s="1549"/>
      <c r="AF753" s="1549"/>
      <c r="AG753" s="1550"/>
      <c r="AH753" s="1548">
        <f>IFERROR(BU753,"")</f>
        <v>0.4734880450070324</v>
      </c>
      <c r="AI753" s="1549"/>
      <c r="AJ753" s="1550"/>
      <c r="AK753"/>
      <c r="AL753"/>
      <c r="AM753"/>
      <c r="AN753"/>
      <c r="AO753"/>
      <c r="AP753" s="114"/>
      <c r="AQ753" s="114"/>
      <c r="AR753" s="114"/>
      <c r="AS753" s="114"/>
      <c r="AT753"/>
      <c r="AU753"/>
      <c r="AV753"/>
      <c r="AW753"/>
      <c r="AX753"/>
      <c r="AY753"/>
      <c r="BE753" s="175" t="s">
        <v>1503</v>
      </c>
      <c r="BF753" s="183">
        <f>SUM(BF718:BF752)</f>
        <v>79</v>
      </c>
      <c r="BG753" s="184">
        <f>SUM(BG718:BG752)</f>
        <v>1</v>
      </c>
      <c r="BH753" s="184">
        <f>SUM(BH718:BH752)</f>
        <v>0.48607594936708859</v>
      </c>
      <c r="BI753"/>
      <c r="BJ753"/>
      <c r="BK753"/>
      <c r="BL753"/>
      <c r="BO753"/>
      <c r="BP753"/>
      <c r="BQ753"/>
      <c r="BR753"/>
      <c r="BS753" s="681">
        <f>SUM(BS718:BS752)</f>
        <v>79</v>
      </c>
      <c r="BT753" s="184">
        <f>SUM(BT718:BT752)</f>
        <v>1</v>
      </c>
      <c r="BU753" s="184">
        <f>SUM(BU718:BU752)</f>
        <v>0.4734880450070324</v>
      </c>
      <c r="CI753" s="1292">
        <f>SUM(CI718:CJ752)</f>
        <v>40</v>
      </c>
      <c r="CJ753" s="1294"/>
      <c r="CM753" s="1292">
        <f>SUM(CM718:CN752)</f>
        <v>24</v>
      </c>
      <c r="CN753" s="1294"/>
      <c r="CP753" s="1292">
        <f>SUM(CP718:CT752)</f>
        <v>0</v>
      </c>
      <c r="CQ753" s="1293"/>
      <c r="CR753" s="1293"/>
      <c r="CS753" s="1293"/>
      <c r="CT753" s="1294"/>
      <c r="CU753" s="1318">
        <f>SUM(CU718:CY752)</f>
        <v>64</v>
      </c>
      <c r="CV753" s="1318"/>
      <c r="CW753" s="1318"/>
      <c r="CX753" s="1318"/>
      <c r="CY753" s="1318"/>
      <c r="CZ753" s="1318">
        <f>SUM(CZ718:DD752)</f>
        <v>15</v>
      </c>
      <c r="DA753" s="1318"/>
      <c r="DB753" s="1318"/>
      <c r="DC753" s="1318"/>
      <c r="DD753" s="1318"/>
      <c r="DE753" s="1318">
        <f>SUM(DE718:DI752)</f>
        <v>0</v>
      </c>
      <c r="DF753" s="1318"/>
      <c r="DG753" s="1318"/>
      <c r="DH753" s="1318"/>
      <c r="DI753" s="1318"/>
      <c r="DJ753" s="1318">
        <f>SUM(DJ718:DN752)</f>
        <v>0</v>
      </c>
      <c r="DK753" s="1318"/>
      <c r="DL753" s="1318"/>
      <c r="DM753" s="1318"/>
      <c r="DN753" s="1318"/>
      <c r="DO753" s="1318">
        <f>SUM(DO718:DS752)</f>
        <v>0</v>
      </c>
      <c r="DP753" s="1318"/>
      <c r="DQ753" s="1318"/>
      <c r="DR753" s="1318"/>
      <c r="DS753" s="1318"/>
      <c r="DT753" s="1068"/>
      <c r="DU753" s="1318">
        <f>SUM(DU718:DY752)</f>
        <v>0</v>
      </c>
      <c r="DV753" s="1318"/>
      <c r="DW753" s="1318"/>
      <c r="DX753" s="1318"/>
      <c r="DY753" s="1318"/>
      <c r="DZ753" s="1318">
        <f>SUM(DZ718:ED752)</f>
        <v>21</v>
      </c>
      <c r="EA753" s="1318"/>
      <c r="EB753" s="1318"/>
      <c r="EC753" s="1318"/>
      <c r="ED753" s="1318"/>
      <c r="EE753" s="1318">
        <f>SUM(EE718:EI752)</f>
        <v>3</v>
      </c>
      <c r="EF753" s="1318"/>
      <c r="EG753" s="1318"/>
      <c r="EH753" s="1318"/>
      <c r="EI753" s="1318"/>
      <c r="EJ753" s="1318">
        <f>SUM(EJ718:EN752)</f>
        <v>0</v>
      </c>
      <c r="EK753" s="1318"/>
      <c r="EL753" s="1318"/>
      <c r="EM753" s="1318"/>
      <c r="EN753" s="1318"/>
      <c r="EO753" s="1318">
        <f>SUM(EO718:ES752)</f>
        <v>0</v>
      </c>
      <c r="EP753" s="1318"/>
      <c r="EQ753" s="1318"/>
      <c r="ER753" s="1318"/>
      <c r="ES753" s="1318"/>
      <c r="ET753" s="1318">
        <f>SUM(ET718:EX752)</f>
        <v>0</v>
      </c>
      <c r="EU753" s="1318"/>
      <c r="EV753" s="1318"/>
      <c r="EW753" s="1318"/>
      <c r="EX753" s="1318"/>
      <c r="EY753"/>
      <c r="EZ753" s="1318">
        <f>SUM(EZ718:FD752)</f>
        <v>0</v>
      </c>
      <c r="FA753" s="1318"/>
      <c r="FB753" s="1318"/>
      <c r="FC753" s="1318"/>
      <c r="FD753" s="1318"/>
      <c r="FE753" s="1318">
        <f>SUM(FE718:FI752)</f>
        <v>2900</v>
      </c>
      <c r="FF753" s="1318"/>
      <c r="FG753" s="1318"/>
      <c r="FH753" s="1318"/>
      <c r="FI753" s="1318"/>
      <c r="FJ753" s="1318">
        <f>SUM(FJ718:FN752)</f>
        <v>3261</v>
      </c>
      <c r="FK753" s="1318"/>
      <c r="FL753" s="1318"/>
      <c r="FM753" s="1318"/>
      <c r="FN753" s="1318"/>
      <c r="FO753" s="1318">
        <f>SUM(FO718:FS752)</f>
        <v>0</v>
      </c>
      <c r="FP753" s="1318"/>
      <c r="FQ753" s="1318"/>
      <c r="FR753" s="1318"/>
      <c r="FS753" s="1318"/>
      <c r="FT753" s="1318">
        <f>SUM(FT718:FX752)</f>
        <v>0</v>
      </c>
      <c r="FU753" s="1318"/>
      <c r="FV753" s="1318"/>
      <c r="FW753" s="1318"/>
      <c r="FX753" s="1318"/>
      <c r="FY753" s="1318">
        <f>SUM(FY718:GC752)</f>
        <v>0</v>
      </c>
      <c r="FZ753" s="1318"/>
      <c r="GA753" s="1318"/>
      <c r="GB753" s="1318"/>
      <c r="GC753" s="1318"/>
    </row>
    <row r="754" spans="1:185" s="2" customFormat="1" ht="13" customHeight="1">
      <c r="A754"/>
      <c r="B754" s="1658" t="s">
        <v>1504</v>
      </c>
      <c r="C754" s="1658"/>
      <c r="D754" s="1658"/>
      <c r="E754" s="1658"/>
      <c r="F754" s="1658"/>
      <c r="G754" s="1658"/>
      <c r="H754" s="1658"/>
      <c r="I754" s="1658"/>
      <c r="J754" s="1658"/>
      <c r="K754" s="1658"/>
      <c r="L754" s="1658"/>
      <c r="M754" s="1658"/>
      <c r="N754" s="1658"/>
      <c r="O754" s="1658"/>
      <c r="P754" s="1658"/>
      <c r="Q754" s="1658"/>
      <c r="R754" s="1658"/>
      <c r="S754" s="1658"/>
      <c r="T754" s="1658"/>
      <c r="U754" s="1658"/>
      <c r="V754" s="1658"/>
      <c r="W754" s="1658"/>
      <c r="X754" s="1658"/>
      <c r="Y754" s="1658"/>
      <c r="Z754" s="1658"/>
      <c r="AA754" s="1658"/>
      <c r="AB754" s="1658"/>
      <c r="AC754" s="1658"/>
      <c r="AD754" s="1658"/>
      <c r="AE754" s="1658"/>
      <c r="AF754" s="1658"/>
      <c r="AG754" s="1658"/>
      <c r="AH754" s="1658"/>
      <c r="AI754"/>
      <c r="AJ754"/>
      <c r="AK754"/>
      <c r="AT754"/>
      <c r="AU754"/>
      <c r="AV754"/>
      <c r="AW754"/>
      <c r="AX754"/>
      <c r="AY754"/>
      <c r="CD754"/>
      <c r="DN754" s="37" t="s">
        <v>1505</v>
      </c>
      <c r="DO754" s="1292">
        <f>CP753+CU753+CZ753+DE753+DJ753+DO753</f>
        <v>79</v>
      </c>
      <c r="DP754" s="1293"/>
      <c r="DQ754" s="1293"/>
      <c r="DR754" s="1293"/>
      <c r="DS754" s="1294"/>
      <c r="DT754" s="1068"/>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58"/>
      <c r="C755" s="1658"/>
      <c r="D755" s="1658"/>
      <c r="E755" s="1658"/>
      <c r="F755" s="1658"/>
      <c r="G755" s="1658"/>
      <c r="H755" s="1658"/>
      <c r="I755" s="1658"/>
      <c r="J755" s="1658"/>
      <c r="K755" s="1658"/>
      <c r="L755" s="1658"/>
      <c r="M755" s="1658"/>
      <c r="N755" s="1658"/>
      <c r="O755" s="1658"/>
      <c r="P755" s="1658"/>
      <c r="Q755" s="1658"/>
      <c r="R755" s="1658"/>
      <c r="S755" s="1658"/>
      <c r="T755" s="1658"/>
      <c r="U755" s="1658"/>
      <c r="V755" s="1658"/>
      <c r="W755" s="1658"/>
      <c r="X755" s="1658"/>
      <c r="Y755" s="1658"/>
      <c r="Z755" s="1658"/>
      <c r="AA755" s="1658"/>
      <c r="AB755" s="1658"/>
      <c r="AC755" s="1658"/>
      <c r="AD755" s="1658"/>
      <c r="AE755" s="1658"/>
      <c r="AF755" s="1658"/>
      <c r="AG755" s="1658"/>
      <c r="AH755" s="165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0</v>
      </c>
      <c r="CU755" s="2"/>
      <c r="CV755" s="2"/>
      <c r="CW755" s="2"/>
      <c r="CX755" s="2"/>
      <c r="CY755" s="683">
        <f>CU753*1</f>
        <v>64</v>
      </c>
      <c r="CZ755" s="2"/>
      <c r="DA755" s="2"/>
      <c r="DB755" s="2"/>
      <c r="DC755" s="2"/>
      <c r="DD755" s="683">
        <f>CZ753*2</f>
        <v>30</v>
      </c>
      <c r="DE755" s="2"/>
      <c r="DF755" s="2"/>
      <c r="DG755" s="2"/>
      <c r="DH755" s="2"/>
      <c r="DI755" s="683">
        <f>DE753*3</f>
        <v>0</v>
      </c>
      <c r="DJ755" s="2"/>
      <c r="DK755" s="2"/>
      <c r="DL755" s="2"/>
      <c r="DM755" s="2"/>
      <c r="DN755" s="683">
        <f>DJ753*4</f>
        <v>0</v>
      </c>
      <c r="DO755" s="2"/>
      <c r="DP755" s="2"/>
      <c r="DQ755" s="2"/>
      <c r="DR755" s="2"/>
      <c r="DS755" s="683">
        <f>DO753*5</f>
        <v>0</v>
      </c>
      <c r="DU755" s="683">
        <f>CT755+CY755+DD755+DI755+DN755+DS755</f>
        <v>94</v>
      </c>
      <c r="DV755" s="38" t="s">
        <v>1506</v>
      </c>
      <c r="DW755" s="2"/>
      <c r="DX755" s="2"/>
      <c r="DY755" s="2"/>
      <c r="DZ755" s="2"/>
      <c r="EA755" s="2"/>
      <c r="EB755" s="2"/>
      <c r="EC755" s="2"/>
      <c r="ED755" s="2"/>
      <c r="EE755" s="2"/>
      <c r="EF755" s="2"/>
      <c r="EG755" s="2"/>
      <c r="EH755" s="2"/>
    </row>
    <row r="756" spans="1:185" ht="13" customHeight="1">
      <c r="A756" s="2"/>
      <c r="B756" s="2"/>
      <c r="C756" s="68" t="s">
        <v>1507</v>
      </c>
      <c r="D756" s="815"/>
      <c r="E756" s="815"/>
      <c r="F756" s="815"/>
      <c r="G756" s="816"/>
      <c r="H756" s="816"/>
      <c r="I756" s="816"/>
      <c r="J756" s="816"/>
      <c r="K756" s="815"/>
      <c r="L756" s="815"/>
      <c r="M756" s="815"/>
      <c r="N756" s="815"/>
      <c r="O756" s="1318">
        <f>DU755</f>
        <v>94</v>
      </c>
      <c r="P756" s="1318"/>
      <c r="Q756" s="1318"/>
      <c r="R756" s="1318"/>
      <c r="S756" s="766"/>
      <c r="T756" s="766"/>
      <c r="U756" s="68" t="s">
        <v>1508</v>
      </c>
      <c r="V756" s="815"/>
      <c r="W756" s="815"/>
      <c r="X756" s="815"/>
      <c r="Y756" s="816"/>
      <c r="Z756" s="816"/>
      <c r="AA756" s="816"/>
      <c r="AB756" s="816"/>
      <c r="AC756" s="815"/>
      <c r="AD756" s="815"/>
      <c r="AE756" s="815"/>
      <c r="AF756" s="815"/>
      <c r="AG756" s="1650">
        <v>27</v>
      </c>
      <c r="AH756" s="1650"/>
      <c r="AI756" s="1650"/>
      <c r="AJ756" s="1650"/>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3" customHeight="1">
      <c r="B757" s="38"/>
      <c r="C757" s="1786" t="str">
        <f>IF(G753&lt;&gt;AG440,"! Total Low-Income Units in the Unit Mix Table above does not match the number of Total Low-Income Units on row #"&amp;TEXT(ROW(D440),"#"),"")</f>
        <v/>
      </c>
      <c r="D757" s="1786"/>
      <c r="E757" s="1786"/>
      <c r="F757" s="1786"/>
      <c r="G757" s="1786"/>
      <c r="H757" s="1786"/>
      <c r="I757" s="1786"/>
      <c r="J757" s="1786"/>
      <c r="K757" s="1786"/>
      <c r="L757" s="1786"/>
      <c r="M757" s="1786"/>
      <c r="N757" s="1786"/>
      <c r="O757" s="1786"/>
      <c r="P757" s="1786"/>
      <c r="Q757" s="1786"/>
      <c r="R757" s="1786"/>
      <c r="S757" s="1786"/>
      <c r="T757" s="1786"/>
      <c r="U757" s="1786"/>
      <c r="V757" s="1786"/>
      <c r="W757" s="1786"/>
      <c r="X757" s="1786"/>
      <c r="Y757" s="1786"/>
      <c r="Z757" s="1786"/>
      <c r="AA757" s="1786"/>
      <c r="AB757" s="1786"/>
      <c r="AC757" s="1786"/>
      <c r="AD757" s="1786"/>
      <c r="AE757" s="1786"/>
      <c r="AF757" s="1786"/>
      <c r="AG757" s="1786"/>
      <c r="AH757" s="1786"/>
      <c r="AI757" s="1786"/>
      <c r="AJ757" s="1786"/>
      <c r="AK757" s="1786"/>
      <c r="AL757" s="1786"/>
      <c r="AM757" s="1786"/>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3" customHeight="1">
      <c r="B758" s="38"/>
      <c r="C758" s="1786"/>
      <c r="D758" s="1786"/>
      <c r="E758" s="1786"/>
      <c r="F758" s="1786"/>
      <c r="G758" s="1786"/>
      <c r="H758" s="1786"/>
      <c r="I758" s="1786"/>
      <c r="J758" s="1786"/>
      <c r="K758" s="1786"/>
      <c r="L758" s="1786"/>
      <c r="M758" s="1786"/>
      <c r="N758" s="1786"/>
      <c r="O758" s="1786"/>
      <c r="P758" s="1786"/>
      <c r="Q758" s="1786"/>
      <c r="R758" s="1786"/>
      <c r="S758" s="1786"/>
      <c r="T758" s="1786"/>
      <c r="U758" s="1786"/>
      <c r="V758" s="1786"/>
      <c r="W758" s="1786"/>
      <c r="X758" s="1786"/>
      <c r="Y758" s="1786"/>
      <c r="Z758" s="1786"/>
      <c r="AA758" s="1786"/>
      <c r="AB758" s="1786"/>
      <c r="AC758" s="1786"/>
      <c r="AD758" s="1786"/>
      <c r="AE758" s="1786"/>
      <c r="AF758" s="1786"/>
      <c r="AG758" s="1786"/>
      <c r="AH758" s="1786"/>
      <c r="AI758" s="1786"/>
      <c r="AJ758" s="1786"/>
      <c r="AK758" s="1786"/>
      <c r="AL758" s="1786"/>
      <c r="AM758" s="1786"/>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3" customHeight="1">
      <c r="B759" s="2"/>
      <c r="C759" s="68" t="s">
        <v>1509</v>
      </c>
      <c r="D759" s="817"/>
      <c r="E759" s="817"/>
      <c r="F759" s="817"/>
      <c r="G759" s="817"/>
      <c r="H759" s="817"/>
      <c r="I759" s="817"/>
      <c r="J759" s="817"/>
      <c r="K759" s="817"/>
      <c r="L759" s="817"/>
      <c r="M759" s="817"/>
      <c r="N759" s="817"/>
      <c r="O759" s="817"/>
      <c r="P759" s="817"/>
      <c r="Q759" s="817"/>
      <c r="R759" s="817"/>
      <c r="S759" s="817"/>
      <c r="T759" s="817"/>
      <c r="U759" s="817"/>
      <c r="V759" s="817"/>
      <c r="W759" s="817"/>
      <c r="X759" s="817"/>
      <c r="Y759" s="817"/>
      <c r="Z759" s="817"/>
      <c r="AA759" s="817"/>
      <c r="AB759" s="817"/>
      <c r="AC759" s="817"/>
      <c r="AD759" s="1657" t="s">
        <v>800</v>
      </c>
      <c r="AE759" s="1657"/>
      <c r="AF759" s="1657"/>
      <c r="AG759" s="817"/>
      <c r="AH759" s="817"/>
      <c r="AI759" s="817"/>
      <c r="AJ759" s="817"/>
      <c r="AK759" s="817"/>
      <c r="AL759" s="817"/>
      <c r="AM759" s="817"/>
      <c r="AN759" s="817"/>
      <c r="AO759" s="817"/>
      <c r="AP759" s="817"/>
      <c r="AQ759" s="817"/>
      <c r="AR759" s="817"/>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3" customHeight="1">
      <c r="C760" s="818" t="s">
        <v>1510</v>
      </c>
      <c r="D760" s="817"/>
      <c r="E760" s="817"/>
      <c r="F760" s="817"/>
      <c r="G760" s="817"/>
      <c r="H760" s="817"/>
      <c r="I760" s="817"/>
      <c r="J760" s="817"/>
      <c r="K760" s="817"/>
      <c r="L760" s="817"/>
      <c r="M760" s="817"/>
      <c r="N760" s="817"/>
      <c r="O760" s="817"/>
      <c r="P760" s="817"/>
      <c r="Q760" s="817"/>
      <c r="R760" s="817"/>
      <c r="S760" s="817"/>
      <c r="T760" s="817"/>
      <c r="U760" s="817"/>
      <c r="V760" s="817"/>
      <c r="W760" s="817"/>
      <c r="X760" s="817"/>
      <c r="Y760" s="817"/>
      <c r="Z760" s="817"/>
      <c r="AA760" s="817"/>
      <c r="AB760" s="817"/>
      <c r="AC760" s="817"/>
      <c r="AD760" s="817"/>
      <c r="AE760" s="817"/>
      <c r="AF760" s="817"/>
      <c r="AG760" s="817"/>
      <c r="AH760" s="817"/>
      <c r="AI760" s="817"/>
      <c r="AJ760" s="817"/>
      <c r="AK760" s="817"/>
      <c r="AL760" s="817"/>
      <c r="AM760" s="817"/>
      <c r="AN760" s="817"/>
      <c r="AO760" s="817"/>
      <c r="AP760" s="817"/>
      <c r="AQ760" s="817"/>
      <c r="AR760" s="817"/>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3" customHeight="1">
      <c r="A761" s="1" t="s">
        <v>913</v>
      </c>
      <c r="B761" s="37"/>
      <c r="C761" s="38" t="s">
        <v>1511</v>
      </c>
      <c r="D761" s="37"/>
      <c r="E761" s="37"/>
      <c r="F761" s="37"/>
      <c r="G761" s="1068"/>
      <c r="H761" s="1068"/>
      <c r="I761" s="1068"/>
      <c r="J761" s="1068"/>
      <c r="K761" s="1068"/>
      <c r="L761" s="37"/>
      <c r="M761" s="37"/>
      <c r="N761" s="37"/>
      <c r="O761" s="37"/>
      <c r="P761" s="37"/>
      <c r="Q761" s="1068"/>
      <c r="R761" s="1068"/>
      <c r="S761" s="1068"/>
      <c r="T761" s="1068"/>
      <c r="U761" s="106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3" customHeight="1">
      <c r="A762" s="2"/>
      <c r="B762" s="815"/>
      <c r="C762" s="68" t="s">
        <v>1512</v>
      </c>
      <c r="D762" s="815"/>
      <c r="E762" s="815"/>
      <c r="F762" s="815"/>
      <c r="G762" s="1068"/>
      <c r="H762" s="1068"/>
      <c r="I762" s="1068"/>
      <c r="J762" s="1068"/>
      <c r="K762" s="1068"/>
      <c r="L762" s="815"/>
      <c r="M762" s="815"/>
      <c r="N762" s="815"/>
      <c r="O762" s="815"/>
      <c r="P762" s="815"/>
      <c r="Q762" s="1068"/>
      <c r="R762" s="1068"/>
      <c r="S762" s="1068"/>
      <c r="T762" s="1068"/>
      <c r="U762" s="1068"/>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3" customHeight="1">
      <c r="A763" s="2"/>
      <c r="B763" s="815"/>
      <c r="C763" s="1223" t="s">
        <v>1513</v>
      </c>
      <c r="D763" s="1223"/>
      <c r="E763" s="1223"/>
      <c r="F763" s="1223"/>
      <c r="G763" s="1223"/>
      <c r="H763" s="1223"/>
      <c r="I763" s="1223"/>
      <c r="J763" s="1223"/>
      <c r="K763" s="1223"/>
      <c r="L763" s="1223"/>
      <c r="M763" s="1223"/>
      <c r="N763" s="1223"/>
      <c r="O763" s="1223"/>
      <c r="P763" s="1223"/>
      <c r="Q763" s="1223"/>
      <c r="R763" s="1223"/>
      <c r="S763" s="1223"/>
      <c r="T763" s="1223"/>
      <c r="U763" s="1223"/>
      <c r="V763" s="1223"/>
      <c r="W763" s="1223"/>
      <c r="X763" s="1223"/>
      <c r="Y763" s="1223"/>
      <c r="Z763" s="1223"/>
      <c r="AA763" s="1223"/>
      <c r="AB763" s="1223"/>
      <c r="AC763" s="1223"/>
      <c r="AD763" s="1223"/>
      <c r="AE763" s="1223"/>
      <c r="AF763" s="1223"/>
      <c r="AG763" s="1223"/>
      <c r="AH763" s="1223"/>
      <c r="AI763" s="1223"/>
      <c r="AJ763" s="1223"/>
      <c r="AK763" s="1223"/>
      <c r="AL763" s="1223"/>
      <c r="AM763" s="1223"/>
      <c r="AN763" s="1223"/>
      <c r="AO763" s="1223"/>
      <c r="AP763" s="1223"/>
      <c r="AQ763" s="1223"/>
      <c r="AR763" s="1223"/>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3" customHeight="1">
      <c r="A764" s="2"/>
      <c r="B764" s="815"/>
      <c r="C764" s="1223"/>
      <c r="D764" s="1223"/>
      <c r="E764" s="1223"/>
      <c r="F764" s="1223"/>
      <c r="G764" s="1223"/>
      <c r="H764" s="1223"/>
      <c r="I764" s="1223"/>
      <c r="J764" s="1223"/>
      <c r="K764" s="1223"/>
      <c r="L764" s="1223"/>
      <c r="M764" s="1223"/>
      <c r="N764" s="1223"/>
      <c r="O764" s="1223"/>
      <c r="P764" s="1223"/>
      <c r="Q764" s="1223"/>
      <c r="R764" s="1223"/>
      <c r="S764" s="1223"/>
      <c r="T764" s="1223"/>
      <c r="U764" s="1223"/>
      <c r="V764" s="1223"/>
      <c r="W764" s="1223"/>
      <c r="X764" s="1223"/>
      <c r="Y764" s="1223"/>
      <c r="Z764" s="1223"/>
      <c r="AA764" s="1223"/>
      <c r="AB764" s="1223"/>
      <c r="AC764" s="1223"/>
      <c r="AD764" s="1223"/>
      <c r="AE764" s="1223"/>
      <c r="AF764" s="1223"/>
      <c r="AG764" s="1223"/>
      <c r="AH764" s="1223"/>
      <c r="AI764" s="1223"/>
      <c r="AJ764" s="1223"/>
      <c r="AK764" s="1223"/>
      <c r="AL764" s="1223"/>
      <c r="AM764" s="1223"/>
      <c r="AN764" s="1223"/>
      <c r="AO764" s="1223"/>
      <c r="AP764" s="1223"/>
      <c r="AQ764" s="1223"/>
      <c r="AR764" s="1223"/>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3" customHeight="1">
      <c r="A765" s="2"/>
      <c r="B765" s="815"/>
      <c r="C765" s="1223"/>
      <c r="D765" s="1223"/>
      <c r="E765" s="1223"/>
      <c r="F765" s="1223"/>
      <c r="G765" s="1223"/>
      <c r="H765" s="1223"/>
      <c r="I765" s="1223"/>
      <c r="J765" s="1223"/>
      <c r="K765" s="1223"/>
      <c r="L765" s="1223"/>
      <c r="M765" s="1223"/>
      <c r="N765" s="1223"/>
      <c r="O765" s="1223"/>
      <c r="P765" s="1223"/>
      <c r="Q765" s="1223"/>
      <c r="R765" s="1223"/>
      <c r="S765" s="1223"/>
      <c r="T765" s="1223"/>
      <c r="U765" s="1223"/>
      <c r="V765" s="1223"/>
      <c r="W765" s="1223"/>
      <c r="X765" s="1223"/>
      <c r="Y765" s="1223"/>
      <c r="Z765" s="1223"/>
      <c r="AA765" s="1223"/>
      <c r="AB765" s="1223"/>
      <c r="AC765" s="1223"/>
      <c r="AD765" s="1223"/>
      <c r="AE765" s="1223"/>
      <c r="AF765" s="1223"/>
      <c r="AG765" s="1223"/>
      <c r="AH765" s="1223"/>
      <c r="AI765" s="1223"/>
      <c r="AJ765" s="1223"/>
      <c r="AK765" s="1223"/>
      <c r="AL765" s="1223"/>
      <c r="AM765" s="1223"/>
      <c r="AN765" s="1223"/>
      <c r="AO765" s="1223"/>
      <c r="AP765" s="1223"/>
      <c r="AQ765" s="1223"/>
      <c r="AR765" s="1223"/>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3" customHeight="1">
      <c r="A766" s="2"/>
      <c r="B766" s="815"/>
      <c r="C766" s="1223" t="s">
        <v>1514</v>
      </c>
      <c r="D766" s="1223"/>
      <c r="E766" s="1223"/>
      <c r="F766" s="1223"/>
      <c r="G766" s="1223"/>
      <c r="H766" s="1223"/>
      <c r="I766" s="1223"/>
      <c r="J766" s="1223"/>
      <c r="K766" s="1223"/>
      <c r="L766" s="1223"/>
      <c r="M766" s="1223"/>
      <c r="N766" s="1223"/>
      <c r="O766" s="1223"/>
      <c r="P766" s="1223"/>
      <c r="Q766" s="1223"/>
      <c r="R766" s="1223"/>
      <c r="S766" s="1223"/>
      <c r="T766" s="1223"/>
      <c r="U766" s="1223"/>
      <c r="V766" s="1223"/>
      <c r="W766" s="1223"/>
      <c r="X766" s="1223"/>
      <c r="Y766" s="1223"/>
      <c r="Z766" s="1223"/>
      <c r="AA766" s="1223"/>
      <c r="AB766" s="1223"/>
      <c r="AC766" s="1223"/>
      <c r="AD766" s="1223"/>
      <c r="AE766" s="1223"/>
      <c r="AF766" s="1223"/>
      <c r="AG766" s="1223"/>
      <c r="AH766" s="1223"/>
      <c r="AI766" s="1223"/>
      <c r="AJ766" s="1223"/>
      <c r="AK766" s="1223"/>
      <c r="AL766" s="1223"/>
      <c r="AM766" s="1223"/>
      <c r="AN766" s="1223"/>
      <c r="AO766" s="1223"/>
      <c r="AP766" s="1223"/>
      <c r="AQ766" s="1223"/>
      <c r="AR766" s="1223"/>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3" customHeight="1">
      <c r="A767" s="2"/>
      <c r="B767" s="815"/>
      <c r="C767" s="1223"/>
      <c r="D767" s="1223"/>
      <c r="E767" s="1223"/>
      <c r="F767" s="1223"/>
      <c r="G767" s="1223"/>
      <c r="H767" s="1223"/>
      <c r="I767" s="1223"/>
      <c r="J767" s="1223"/>
      <c r="K767" s="1223"/>
      <c r="L767" s="1223"/>
      <c r="M767" s="1223"/>
      <c r="N767" s="1223"/>
      <c r="O767" s="1223"/>
      <c r="P767" s="1223"/>
      <c r="Q767" s="1223"/>
      <c r="R767" s="1223"/>
      <c r="S767" s="1223"/>
      <c r="T767" s="1223"/>
      <c r="U767" s="1223"/>
      <c r="V767" s="1223"/>
      <c r="W767" s="1223"/>
      <c r="X767" s="1223"/>
      <c r="Y767" s="1223"/>
      <c r="Z767" s="1223"/>
      <c r="AA767" s="1223"/>
      <c r="AB767" s="1223"/>
      <c r="AC767" s="1223"/>
      <c r="AD767" s="1223"/>
      <c r="AE767" s="1223"/>
      <c r="AF767" s="1223"/>
      <c r="AG767" s="1223"/>
      <c r="AH767" s="1223"/>
      <c r="AI767" s="1223"/>
      <c r="AJ767" s="1223"/>
      <c r="AK767" s="1223"/>
      <c r="AL767" s="1223"/>
      <c r="AM767" s="1223"/>
      <c r="AN767" s="1223"/>
      <c r="AO767" s="1223"/>
      <c r="AP767" s="1223"/>
      <c r="AQ767" s="1223"/>
      <c r="AR767" s="1223"/>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3" customHeight="1">
      <c r="A768" s="2"/>
      <c r="B768" s="815"/>
      <c r="C768" s="1223"/>
      <c r="D768" s="1223"/>
      <c r="E768" s="1223"/>
      <c r="F768" s="1223"/>
      <c r="G768" s="1223"/>
      <c r="H768" s="1223"/>
      <c r="I768" s="1223"/>
      <c r="J768" s="1223"/>
      <c r="K768" s="1223"/>
      <c r="L768" s="1223"/>
      <c r="M768" s="1223"/>
      <c r="N768" s="1223"/>
      <c r="O768" s="1223"/>
      <c r="P768" s="1223"/>
      <c r="Q768" s="1223"/>
      <c r="R768" s="1223"/>
      <c r="S768" s="1223"/>
      <c r="T768" s="1223"/>
      <c r="U768" s="1223"/>
      <c r="V768" s="1223"/>
      <c r="W768" s="1223"/>
      <c r="X768" s="1223"/>
      <c r="Y768" s="1223"/>
      <c r="Z768" s="1223"/>
      <c r="AA768" s="1223"/>
      <c r="AB768" s="1223"/>
      <c r="AC768" s="1223"/>
      <c r="AD768" s="1223"/>
      <c r="AE768" s="1223"/>
      <c r="AF768" s="1223"/>
      <c r="AG768" s="1223"/>
      <c r="AH768" s="1223"/>
      <c r="AI768" s="1223"/>
      <c r="AJ768" s="1223"/>
      <c r="AK768" s="1223"/>
      <c r="AL768" s="1223"/>
      <c r="AM768" s="1223"/>
      <c r="AN768" s="1223"/>
      <c r="AO768" s="1223"/>
      <c r="AP768" s="1223"/>
      <c r="AQ768" s="1223"/>
      <c r="AR768" s="1223"/>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3" customHeight="1">
      <c r="J769" s="1430" t="s">
        <v>1480</v>
      </c>
      <c r="K769" s="1431"/>
      <c r="L769" s="1431"/>
      <c r="M769" s="1431"/>
      <c r="N769" s="1432"/>
      <c r="O769" s="1543" t="s">
        <v>1481</v>
      </c>
      <c r="P769" s="1543"/>
      <c r="Q769" s="1543"/>
      <c r="R769" s="1543"/>
      <c r="S769" s="1543"/>
      <c r="T769" s="1445" t="s">
        <v>1482</v>
      </c>
      <c r="U769" s="1446"/>
      <c r="V769" s="1446"/>
      <c r="W769" s="1447"/>
      <c r="X769" s="1430" t="s">
        <v>1483</v>
      </c>
      <c r="Y769" s="1431"/>
      <c r="Z769" s="1431"/>
      <c r="AA769" s="1431"/>
      <c r="AB769" s="1432"/>
      <c r="AC769" s="1430" t="s">
        <v>1515</v>
      </c>
      <c r="AD769" s="1431"/>
      <c r="AE769" s="1431"/>
      <c r="AF769" s="1431"/>
      <c r="AG769" s="1432"/>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3" customHeight="1">
      <c r="J770" s="1433"/>
      <c r="K770" s="1434"/>
      <c r="L770" s="1434"/>
      <c r="M770" s="1434"/>
      <c r="N770" s="1435"/>
      <c r="O770" s="1543"/>
      <c r="P770" s="1543"/>
      <c r="Q770" s="1543"/>
      <c r="R770" s="1543"/>
      <c r="S770" s="1543"/>
      <c r="T770" s="1448"/>
      <c r="U770" s="1449"/>
      <c r="V770" s="1449"/>
      <c r="W770" s="1450"/>
      <c r="X770" s="1433"/>
      <c r="Y770" s="1434"/>
      <c r="Z770" s="1434"/>
      <c r="AA770" s="1434"/>
      <c r="AB770" s="1435"/>
      <c r="AC770" s="1433"/>
      <c r="AD770" s="1434"/>
      <c r="AE770" s="1434"/>
      <c r="AF770" s="1434"/>
      <c r="AG770" s="1435"/>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3" customHeight="1">
      <c r="J771" s="1433"/>
      <c r="K771" s="1434"/>
      <c r="L771" s="1434"/>
      <c r="M771" s="1434"/>
      <c r="N771" s="1435"/>
      <c r="O771" s="1543"/>
      <c r="P771" s="1543"/>
      <c r="Q771" s="1543"/>
      <c r="R771" s="1543"/>
      <c r="S771" s="1543"/>
      <c r="T771" s="1448"/>
      <c r="U771" s="1449"/>
      <c r="V771" s="1449"/>
      <c r="W771" s="1450"/>
      <c r="X771" s="1433"/>
      <c r="Y771" s="1434"/>
      <c r="Z771" s="1434"/>
      <c r="AA771" s="1434"/>
      <c r="AB771" s="1435"/>
      <c r="AC771" s="1433"/>
      <c r="AD771" s="1434"/>
      <c r="AE771" s="1434"/>
      <c r="AF771" s="1434"/>
      <c r="AG771" s="1435"/>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3" customHeight="1">
      <c r="J772" s="1436"/>
      <c r="K772" s="1437"/>
      <c r="L772" s="1437"/>
      <c r="M772" s="1437"/>
      <c r="N772" s="1438"/>
      <c r="O772" s="1543"/>
      <c r="P772" s="1543"/>
      <c r="Q772" s="1543"/>
      <c r="R772" s="1543"/>
      <c r="S772" s="1543"/>
      <c r="T772" s="1535"/>
      <c r="U772" s="1536"/>
      <c r="V772" s="1536"/>
      <c r="W772" s="1537"/>
      <c r="X772" s="1436"/>
      <c r="Y772" s="1437"/>
      <c r="Z772" s="1437"/>
      <c r="AA772" s="1437"/>
      <c r="AB772" s="1438"/>
      <c r="AC772" s="1436"/>
      <c r="AD772" s="1437"/>
      <c r="AE772" s="1437"/>
      <c r="AF772" s="1437"/>
      <c r="AG772" s="1438"/>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1516</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068"/>
      <c r="DU772" s="2"/>
      <c r="DV772" s="2"/>
    </row>
    <row r="773" spans="1:126" ht="13" customHeight="1">
      <c r="J773" s="1306" t="s">
        <v>834</v>
      </c>
      <c r="K773" s="1307"/>
      <c r="L773" s="1307"/>
      <c r="M773" s="1307"/>
      <c r="N773" s="1308"/>
      <c r="O773" s="1465">
        <v>1</v>
      </c>
      <c r="P773" s="1465"/>
      <c r="Q773" s="1465"/>
      <c r="R773" s="1465"/>
      <c r="S773" s="1465"/>
      <c r="T773" s="1538">
        <f>+K719</f>
        <v>825.5</v>
      </c>
      <c r="U773" s="1539"/>
      <c r="V773" s="1539"/>
      <c r="W773" s="1540"/>
      <c r="X773" s="1404">
        <v>0</v>
      </c>
      <c r="Y773" s="1405"/>
      <c r="Z773" s="1405"/>
      <c r="AA773" s="1405"/>
      <c r="AB773" s="1406"/>
      <c r="AC773" s="1309">
        <f>X773*O773</f>
        <v>0</v>
      </c>
      <c r="AD773" s="1310"/>
      <c r="AE773" s="1310"/>
      <c r="AF773" s="1310"/>
      <c r="AG773" s="1311"/>
      <c r="AH773" s="1168"/>
      <c r="AI773" s="69"/>
      <c r="AJ773" s="69"/>
      <c r="AK773" s="1168"/>
      <c r="AL773" s="1168"/>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89">
        <f>IF(J773="SRO/Studio",O773,0)</f>
        <v>0</v>
      </c>
      <c r="CQ773" s="1290"/>
      <c r="CR773" s="1290"/>
      <c r="CS773" s="1290"/>
      <c r="CT773" s="1291"/>
      <c r="CU773" s="1305">
        <f>IF(J773="1 Bedroom",O773,0)</f>
        <v>0</v>
      </c>
      <c r="CV773" s="1305"/>
      <c r="CW773" s="1305"/>
      <c r="CX773" s="1305"/>
      <c r="CY773" s="1305"/>
      <c r="CZ773" s="1305">
        <f>IF(J773="2 Bedrooms",O773,0)</f>
        <v>1</v>
      </c>
      <c r="DA773" s="1305"/>
      <c r="DB773" s="1305"/>
      <c r="DC773" s="1305"/>
      <c r="DD773" s="1305"/>
      <c r="DE773" s="1305">
        <f>IF(J773="3 Bedrooms",O773,0)</f>
        <v>0</v>
      </c>
      <c r="DF773" s="1305"/>
      <c r="DG773" s="1305"/>
      <c r="DH773" s="1305"/>
      <c r="DI773" s="1305"/>
      <c r="DJ773" s="1305">
        <f>IF(J773="4 Bedrooms",O773,0)</f>
        <v>0</v>
      </c>
      <c r="DK773" s="1305"/>
      <c r="DL773" s="1305"/>
      <c r="DM773" s="1305"/>
      <c r="DN773" s="1305"/>
      <c r="DO773" s="1305">
        <f>IF(J773="5 Bedrooms",O773,0)</f>
        <v>0</v>
      </c>
      <c r="DP773" s="1305"/>
      <c r="DQ773" s="1305"/>
      <c r="DR773" s="1305"/>
      <c r="DS773" s="1305"/>
      <c r="DT773" s="1068"/>
      <c r="DU773" s="2"/>
      <c r="DV773" s="2"/>
    </row>
    <row r="774" spans="1:126" ht="13" customHeight="1">
      <c r="J774" s="1306"/>
      <c r="K774" s="1307"/>
      <c r="L774" s="1307"/>
      <c r="M774" s="1307"/>
      <c r="N774" s="1308"/>
      <c r="O774" s="1465"/>
      <c r="P774" s="1465"/>
      <c r="Q774" s="1465"/>
      <c r="R774" s="1465"/>
      <c r="S774" s="1465"/>
      <c r="T774" s="1538"/>
      <c r="U774" s="1539"/>
      <c r="V774" s="1539"/>
      <c r="W774" s="1540"/>
      <c r="X774" s="1404"/>
      <c r="Y774" s="1405"/>
      <c r="Z774" s="1405"/>
      <c r="AA774" s="1405"/>
      <c r="AB774" s="1406"/>
      <c r="AC774" s="1309">
        <f>X774*O774</f>
        <v>0</v>
      </c>
      <c r="AD774" s="1310"/>
      <c r="AE774" s="1310"/>
      <c r="AF774" s="1310"/>
      <c r="AG774" s="1311"/>
      <c r="AH774" s="1168"/>
      <c r="AI774" s="1168"/>
      <c r="AJ774" s="1168"/>
      <c r="AK774" s="1168"/>
      <c r="AL774" s="1168"/>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89">
        <f>IF(J774="SRO/Studio",O774,0)</f>
        <v>0</v>
      </c>
      <c r="CQ774" s="1290"/>
      <c r="CR774" s="1290"/>
      <c r="CS774" s="1290"/>
      <c r="CT774" s="1291"/>
      <c r="CU774" s="1305">
        <f>IF(J774="1 Bedroom",O774,0)</f>
        <v>0</v>
      </c>
      <c r="CV774" s="1305"/>
      <c r="CW774" s="1305"/>
      <c r="CX774" s="1305"/>
      <c r="CY774" s="1305"/>
      <c r="CZ774" s="1305">
        <f>IF(J774="2 Bedrooms",O774,0)</f>
        <v>0</v>
      </c>
      <c r="DA774" s="1305"/>
      <c r="DB774" s="1305"/>
      <c r="DC774" s="1305"/>
      <c r="DD774" s="1305"/>
      <c r="DE774" s="1305">
        <f>IF(J774="3 Bedrooms",O774,0)</f>
        <v>0</v>
      </c>
      <c r="DF774" s="1305"/>
      <c r="DG774" s="1305"/>
      <c r="DH774" s="1305"/>
      <c r="DI774" s="1305"/>
      <c r="DJ774" s="1305">
        <f>IF(J774="4 Bedrooms",O774,0)</f>
        <v>0</v>
      </c>
      <c r="DK774" s="1305"/>
      <c r="DL774" s="1305"/>
      <c r="DM774" s="1305"/>
      <c r="DN774" s="1305"/>
      <c r="DO774" s="1305">
        <f>IF(J774="5 Bedrooms",O774,0)</f>
        <v>0</v>
      </c>
      <c r="DP774" s="1305"/>
      <c r="DQ774" s="1305"/>
      <c r="DR774" s="1305"/>
      <c r="DS774" s="1305"/>
      <c r="DT774" s="1068"/>
      <c r="DU774" s="2"/>
      <c r="DV774" s="2"/>
    </row>
    <row r="775" spans="1:126" ht="13" customHeight="1">
      <c r="J775" s="1306"/>
      <c r="K775" s="1307"/>
      <c r="L775" s="1307"/>
      <c r="M775" s="1307"/>
      <c r="N775" s="1308"/>
      <c r="O775" s="1465"/>
      <c r="P775" s="1465"/>
      <c r="Q775" s="1465"/>
      <c r="R775" s="1465"/>
      <c r="S775" s="1465"/>
      <c r="T775" s="1538"/>
      <c r="U775" s="1539"/>
      <c r="V775" s="1539"/>
      <c r="W775" s="1540"/>
      <c r="X775" s="1404"/>
      <c r="Y775" s="1405"/>
      <c r="Z775" s="1405"/>
      <c r="AA775" s="1405"/>
      <c r="AB775" s="1406"/>
      <c r="AC775" s="1309">
        <f>X775*O775</f>
        <v>0</v>
      </c>
      <c r="AD775" s="1310"/>
      <c r="AE775" s="1310"/>
      <c r="AF775" s="1310"/>
      <c r="AG775" s="1311"/>
      <c r="AH775" s="1168"/>
      <c r="AI775" s="1168"/>
      <c r="AJ775" s="1168"/>
      <c r="AK775" s="1168"/>
      <c r="AL775" s="1168"/>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89">
        <f>IF(J775="SRO/Studio",O775,0)</f>
        <v>0</v>
      </c>
      <c r="CQ775" s="1290"/>
      <c r="CR775" s="1290"/>
      <c r="CS775" s="1290"/>
      <c r="CT775" s="1291"/>
      <c r="CU775" s="1305">
        <f>IF(J775="1 Bedroom",O775,0)</f>
        <v>0</v>
      </c>
      <c r="CV775" s="1305"/>
      <c r="CW775" s="1305"/>
      <c r="CX775" s="1305"/>
      <c r="CY775" s="1305"/>
      <c r="CZ775" s="1305">
        <f>IF(J775="2 Bedrooms",O775,0)</f>
        <v>0</v>
      </c>
      <c r="DA775" s="1305"/>
      <c r="DB775" s="1305"/>
      <c r="DC775" s="1305"/>
      <c r="DD775" s="1305"/>
      <c r="DE775" s="1305">
        <f>IF(J775="3 Bedrooms",O775,0)</f>
        <v>0</v>
      </c>
      <c r="DF775" s="1305"/>
      <c r="DG775" s="1305"/>
      <c r="DH775" s="1305"/>
      <c r="DI775" s="1305"/>
      <c r="DJ775" s="1305">
        <f>IF(J775="4 Bedrooms",O775,0)</f>
        <v>0</v>
      </c>
      <c r="DK775" s="1305"/>
      <c r="DL775" s="1305"/>
      <c r="DM775" s="1305"/>
      <c r="DN775" s="1305"/>
      <c r="DO775" s="1305">
        <f>IF(J775="5 Bedrooms",O775,0)</f>
        <v>0</v>
      </c>
      <c r="DP775" s="1305"/>
      <c r="DQ775" s="1305"/>
      <c r="DR775" s="1305"/>
      <c r="DS775" s="1305"/>
      <c r="DT775" s="1068"/>
    </row>
    <row r="776" spans="1:126" ht="13" customHeight="1">
      <c r="J776" s="1306"/>
      <c r="K776" s="1307"/>
      <c r="L776" s="1307"/>
      <c r="M776" s="1307"/>
      <c r="N776" s="1308"/>
      <c r="O776" s="1465"/>
      <c r="P776" s="1465"/>
      <c r="Q776" s="1465"/>
      <c r="R776" s="1465"/>
      <c r="S776" s="1465"/>
      <c r="T776" s="1538"/>
      <c r="U776" s="1539"/>
      <c r="V776" s="1539"/>
      <c r="W776" s="1540"/>
      <c r="X776" s="1404"/>
      <c r="Y776" s="1405"/>
      <c r="Z776" s="1405"/>
      <c r="AA776" s="1405"/>
      <c r="AB776" s="1406"/>
      <c r="AC776" s="1309">
        <f>X776*O776</f>
        <v>0</v>
      </c>
      <c r="AD776" s="1310"/>
      <c r="AE776" s="1310"/>
      <c r="AF776" s="1310"/>
      <c r="AG776" s="1311"/>
      <c r="AH776" s="1168"/>
      <c r="AI776" s="1168"/>
      <c r="AJ776" s="1168"/>
      <c r="AK776" s="1168"/>
      <c r="AL776" s="1168"/>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89">
        <f>IF(J776="SRO/Studio",O776,0)</f>
        <v>0</v>
      </c>
      <c r="CQ776" s="1290"/>
      <c r="CR776" s="1290"/>
      <c r="CS776" s="1290"/>
      <c r="CT776" s="1291"/>
      <c r="CU776" s="1305">
        <f>IF(J776="1 Bedroom",O776,0)</f>
        <v>0</v>
      </c>
      <c r="CV776" s="1305"/>
      <c r="CW776" s="1305"/>
      <c r="CX776" s="1305"/>
      <c r="CY776" s="1305"/>
      <c r="CZ776" s="1305">
        <f>IF(J776="2 Bedrooms",O776,0)</f>
        <v>0</v>
      </c>
      <c r="DA776" s="1305"/>
      <c r="DB776" s="1305"/>
      <c r="DC776" s="1305"/>
      <c r="DD776" s="1305"/>
      <c r="DE776" s="1305">
        <f>IF(J776="3 Bedrooms",O776,0)</f>
        <v>0</v>
      </c>
      <c r="DF776" s="1305"/>
      <c r="DG776" s="1305"/>
      <c r="DH776" s="1305"/>
      <c r="DI776" s="1305"/>
      <c r="DJ776" s="1305">
        <f>IF(J776="4 Bedrooms",O776,0)</f>
        <v>0</v>
      </c>
      <c r="DK776" s="1305"/>
      <c r="DL776" s="1305"/>
      <c r="DM776" s="1305"/>
      <c r="DN776" s="1305"/>
      <c r="DO776" s="1305">
        <f>IF(J776="5 Bedrooms",O776,0)</f>
        <v>0</v>
      </c>
      <c r="DP776" s="1305"/>
      <c r="DQ776" s="1305"/>
      <c r="DR776" s="1305"/>
      <c r="DS776" s="1305"/>
    </row>
    <row r="777" spans="1:126" ht="13" customHeight="1">
      <c r="J777" s="1527" t="s">
        <v>1500</v>
      </c>
      <c r="K777" s="1528"/>
      <c r="L777" s="1528"/>
      <c r="M777" s="1528"/>
      <c r="N777" s="1530"/>
      <c r="O777" s="1292">
        <f>SUM(O773:S776)</f>
        <v>1</v>
      </c>
      <c r="P777" s="1293"/>
      <c r="Q777" s="1293"/>
      <c r="R777" s="1293"/>
      <c r="S777" s="1294"/>
      <c r="X777" s="1527" t="s">
        <v>1501</v>
      </c>
      <c r="Y777" s="1528"/>
      <c r="Z777" s="1528"/>
      <c r="AA777" s="1528"/>
      <c r="AB777" s="1530"/>
      <c r="AC777" s="1309">
        <f>SUM(AC773:AG776)</f>
        <v>0</v>
      </c>
      <c r="AD777" s="1310"/>
      <c r="AE777" s="1310"/>
      <c r="AF777" s="1310"/>
      <c r="AG777" s="1311"/>
      <c r="AI777" s="1168"/>
      <c r="AJ777" s="1168"/>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2">
        <f>SUM(CP773:CT776)</f>
        <v>0</v>
      </c>
      <c r="CQ777" s="1293"/>
      <c r="CR777" s="1293"/>
      <c r="CS777" s="1293"/>
      <c r="CT777" s="1294"/>
      <c r="CU777" s="1292">
        <f>SUM(CU773:CY776)</f>
        <v>0</v>
      </c>
      <c r="CV777" s="1293"/>
      <c r="CW777" s="1293"/>
      <c r="CX777" s="1293"/>
      <c r="CY777" s="1294"/>
      <c r="CZ777" s="1292">
        <f>SUM(CZ773:DD776)</f>
        <v>1</v>
      </c>
      <c r="DA777" s="1293"/>
      <c r="DB777" s="1293"/>
      <c r="DC777" s="1293"/>
      <c r="DD777" s="1294"/>
      <c r="DE777" s="1292">
        <f>SUM(DE773:DI776)</f>
        <v>0</v>
      </c>
      <c r="DF777" s="1293"/>
      <c r="DG777" s="1293"/>
      <c r="DH777" s="1293"/>
      <c r="DI777" s="1294"/>
      <c r="DJ777" s="1292">
        <f>SUM(DJ773:DN776)</f>
        <v>0</v>
      </c>
      <c r="DK777" s="1293"/>
      <c r="DL777" s="1293"/>
      <c r="DM777" s="1293"/>
      <c r="DN777" s="1294"/>
      <c r="DO777" s="1292">
        <f>SUM(DO773:DS776)</f>
        <v>0</v>
      </c>
      <c r="DP777" s="1293"/>
      <c r="DQ777" s="1293"/>
      <c r="DR777" s="1293"/>
      <c r="DS777" s="1294"/>
      <c r="DU777" s="683">
        <f>CP777+CU777+CZ777+DE777+DJ777+DO777</f>
        <v>1</v>
      </c>
      <c r="DV777" s="38" t="s">
        <v>1517</v>
      </c>
    </row>
    <row r="778" spans="1:126" ht="13" customHeight="1">
      <c r="J778" s="37"/>
      <c r="K778" s="37"/>
      <c r="L778" s="37"/>
      <c r="M778" s="37"/>
      <c r="N778" s="37"/>
      <c r="O778" s="1068"/>
      <c r="P778" s="1068"/>
      <c r="Q778" s="1068"/>
      <c r="R778" s="1068"/>
      <c r="S778" s="1068"/>
      <c r="T778" s="37"/>
      <c r="U778" s="37"/>
      <c r="V778" s="37"/>
      <c r="W778" s="37"/>
      <c r="X778" s="37"/>
      <c r="Y778" s="766"/>
      <c r="Z778" s="1063"/>
      <c r="AA778" s="1063"/>
      <c r="AB778" s="1063"/>
      <c r="AC778" s="1063"/>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0</v>
      </c>
      <c r="CZ778" s="2"/>
      <c r="DA778" s="2"/>
      <c r="DB778" s="2"/>
      <c r="DC778" s="2"/>
      <c r="DD778" s="683">
        <f>CZ777*2</f>
        <v>2</v>
      </c>
      <c r="DE778" s="2"/>
      <c r="DF778" s="2"/>
      <c r="DG778" s="2"/>
      <c r="DH778" s="2"/>
      <c r="DI778" s="683">
        <f>DE777*3</f>
        <v>0</v>
      </c>
      <c r="DJ778" s="2"/>
      <c r="DK778" s="2"/>
      <c r="DL778" s="2"/>
      <c r="DM778" s="2"/>
      <c r="DN778" s="683">
        <f>DJ777*4</f>
        <v>0</v>
      </c>
      <c r="DO778" s="2"/>
      <c r="DP778" s="2"/>
      <c r="DQ778" s="2"/>
      <c r="DR778" s="2"/>
      <c r="DS778" s="683">
        <f>DO777*5</f>
        <v>0</v>
      </c>
      <c r="DU778" s="683">
        <f>CT778+CY778+DD778+DI778+DN778+DS778</f>
        <v>2</v>
      </c>
      <c r="DV778" s="38" t="s">
        <v>1518</v>
      </c>
    </row>
    <row r="779" spans="1:126" ht="13" customHeight="1">
      <c r="B779" s="37"/>
      <c r="C779" s="37"/>
      <c r="D779" s="37"/>
      <c r="E779" s="37"/>
      <c r="F779" s="37"/>
      <c r="G779" s="1068"/>
      <c r="H779" s="1068"/>
      <c r="I779" s="1068"/>
      <c r="J779" s="1340" t="s">
        <v>695</v>
      </c>
      <c r="K779" s="1340"/>
      <c r="L779" s="37"/>
      <c r="M779" s="68" t="s">
        <v>1519</v>
      </c>
      <c r="N779" s="37"/>
      <c r="O779" s="37"/>
      <c r="P779" s="37"/>
      <c r="Q779" s="1068"/>
      <c r="R779" s="1068"/>
      <c r="S779" s="1068"/>
      <c r="T779" s="1068"/>
      <c r="U779" s="106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3" customHeight="1">
      <c r="B780" s="37"/>
      <c r="C780" s="37"/>
      <c r="D780" s="37"/>
      <c r="E780" s="37"/>
      <c r="F780" s="37"/>
      <c r="G780" s="1068"/>
      <c r="H780" s="1068"/>
      <c r="I780" s="1068"/>
      <c r="J780" s="1068"/>
      <c r="K780" s="1068"/>
      <c r="L780" s="37"/>
      <c r="M780" s="68" t="s">
        <v>1520</v>
      </c>
      <c r="N780" s="37"/>
      <c r="O780" s="37"/>
      <c r="P780" s="37"/>
      <c r="Q780" s="1068"/>
      <c r="R780" s="1068"/>
      <c r="S780" s="1068"/>
      <c r="T780" s="1068"/>
      <c r="U780" s="106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3" customHeight="1">
      <c r="A781" s="1" t="s">
        <v>992</v>
      </c>
      <c r="B781" s="38"/>
      <c r="C781" s="38" t="s">
        <v>209</v>
      </c>
      <c r="D781" s="37"/>
      <c r="E781" s="37"/>
      <c r="F781" s="37"/>
      <c r="G781" s="1068"/>
      <c r="H781" s="1068"/>
      <c r="I781" s="1068"/>
      <c r="J781" s="1068"/>
      <c r="K781" s="1068"/>
      <c r="L781" s="37"/>
      <c r="M781" s="37"/>
      <c r="N781" s="37"/>
      <c r="O781" s="37"/>
      <c r="P781" s="37"/>
      <c r="Q781" s="1068"/>
      <c r="R781" s="1068"/>
      <c r="S781" s="1068"/>
      <c r="T781" s="1068"/>
      <c r="U781" s="10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3" customHeight="1">
      <c r="B782" s="37"/>
      <c r="C782" s="37"/>
      <c r="D782" s="37"/>
      <c r="E782" s="37"/>
      <c r="F782" s="37"/>
      <c r="G782" s="1068"/>
      <c r="H782" s="1068"/>
      <c r="I782" s="1068"/>
      <c r="J782" s="363"/>
      <c r="K782" s="1068"/>
      <c r="L782" s="37"/>
      <c r="M782" s="37"/>
      <c r="N782" s="37"/>
      <c r="O782" s="37"/>
      <c r="P782" s="37"/>
      <c r="Q782" s="1068"/>
      <c r="R782" s="1068"/>
      <c r="S782" s="1068"/>
      <c r="T782" s="1068"/>
      <c r="U782" s="10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3" customHeight="1">
      <c r="J783" s="1430" t="s">
        <v>1480</v>
      </c>
      <c r="K783" s="1431"/>
      <c r="L783" s="1431"/>
      <c r="M783" s="1431"/>
      <c r="N783" s="1432"/>
      <c r="O783" s="1543" t="s">
        <v>1481</v>
      </c>
      <c r="P783" s="1543"/>
      <c r="Q783" s="1543"/>
      <c r="R783" s="1543"/>
      <c r="S783" s="1543"/>
      <c r="T783" s="1445" t="s">
        <v>1482</v>
      </c>
      <c r="U783" s="1446"/>
      <c r="V783" s="1446"/>
      <c r="W783" s="1447"/>
      <c r="X783" s="1430" t="s">
        <v>1483</v>
      </c>
      <c r="Y783" s="1431"/>
      <c r="Z783" s="1431"/>
      <c r="AA783" s="1431"/>
      <c r="AB783" s="1432"/>
      <c r="AC783" s="1430" t="s">
        <v>1515</v>
      </c>
      <c r="AD783" s="1431"/>
      <c r="AE783" s="1431"/>
      <c r="AF783" s="1431"/>
      <c r="AG783" s="143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3" customHeight="1">
      <c r="J784" s="1433"/>
      <c r="K784" s="1434"/>
      <c r="L784" s="1434"/>
      <c r="M784" s="1434"/>
      <c r="N784" s="1435"/>
      <c r="O784" s="1543"/>
      <c r="P784" s="1543"/>
      <c r="Q784" s="1543"/>
      <c r="R784" s="1543"/>
      <c r="S784" s="1543"/>
      <c r="T784" s="1448"/>
      <c r="U784" s="1449"/>
      <c r="V784" s="1449"/>
      <c r="W784" s="1450"/>
      <c r="X784" s="1433"/>
      <c r="Y784" s="1434"/>
      <c r="Z784" s="1434"/>
      <c r="AA784" s="1434"/>
      <c r="AB784" s="1435"/>
      <c r="AC784" s="1433"/>
      <c r="AD784" s="1434"/>
      <c r="AE784" s="1434"/>
      <c r="AF784" s="1434"/>
      <c r="AG784" s="143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3" customHeight="1">
      <c r="J785" s="1433"/>
      <c r="K785" s="1434"/>
      <c r="L785" s="1434"/>
      <c r="M785" s="1434"/>
      <c r="N785" s="1435"/>
      <c r="O785" s="1543"/>
      <c r="P785" s="1543"/>
      <c r="Q785" s="1543"/>
      <c r="R785" s="1543"/>
      <c r="S785" s="1543"/>
      <c r="T785" s="1448"/>
      <c r="U785" s="1449"/>
      <c r="V785" s="1449"/>
      <c r="W785" s="1450"/>
      <c r="X785" s="1433"/>
      <c r="Y785" s="1434"/>
      <c r="Z785" s="1434"/>
      <c r="AA785" s="1434"/>
      <c r="AB785" s="1435"/>
      <c r="AC785" s="1433"/>
      <c r="AD785" s="1434"/>
      <c r="AE785" s="1434"/>
      <c r="AF785" s="1434"/>
      <c r="AG785" s="143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3" customHeight="1">
      <c r="J786" s="1436"/>
      <c r="K786" s="1437"/>
      <c r="L786" s="1437"/>
      <c r="M786" s="1437"/>
      <c r="N786" s="1438"/>
      <c r="O786" s="1543"/>
      <c r="P786" s="1543"/>
      <c r="Q786" s="1543"/>
      <c r="R786" s="1543"/>
      <c r="S786" s="1543"/>
      <c r="T786" s="1535"/>
      <c r="U786" s="1536"/>
      <c r="V786" s="1536"/>
      <c r="W786" s="1537"/>
      <c r="X786" s="1436"/>
      <c r="Y786" s="1437"/>
      <c r="Z786" s="1437"/>
      <c r="AA786" s="1437"/>
      <c r="AB786" s="1438"/>
      <c r="AC786" s="1436"/>
      <c r="AD786" s="1437"/>
      <c r="AE786" s="1437"/>
      <c r="AF786" s="1437"/>
      <c r="AG786" s="1438"/>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1521</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1522</v>
      </c>
      <c r="DV786" s="2"/>
      <c r="DW786" s="2"/>
      <c r="DX786" s="2"/>
      <c r="DY786" s="2"/>
      <c r="DZ786" s="2"/>
      <c r="EA786" s="2"/>
      <c r="EB786" s="2"/>
      <c r="EC786" s="2"/>
      <c r="ED786" s="2"/>
      <c r="EE786" s="2"/>
      <c r="EF786" s="2"/>
      <c r="EG786" s="2"/>
      <c r="EH786" s="2"/>
    </row>
    <row r="787" spans="1:154" ht="13" customHeight="1">
      <c r="J787" s="1306"/>
      <c r="K787" s="1307"/>
      <c r="L787" s="1307"/>
      <c r="M787" s="1307"/>
      <c r="N787" s="1308"/>
      <c r="O787" s="1465"/>
      <c r="P787" s="1465"/>
      <c r="Q787" s="1465"/>
      <c r="R787" s="1465"/>
      <c r="S787" s="1465"/>
      <c r="T787" s="1538"/>
      <c r="U787" s="1539"/>
      <c r="V787" s="1539"/>
      <c r="W787" s="1540"/>
      <c r="X787" s="1404"/>
      <c r="Y787" s="1405"/>
      <c r="Z787" s="1405"/>
      <c r="AA787" s="1405"/>
      <c r="AB787" s="1406"/>
      <c r="AC787" s="1309">
        <f t="shared" ref="AC787:AC796" si="40">X787*O787</f>
        <v>0</v>
      </c>
      <c r="AD787" s="1310"/>
      <c r="AE787" s="1310"/>
      <c r="AF787" s="1310"/>
      <c r="AG787" s="1311"/>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89">
        <f t="shared" ref="CP787:CP796" si="41">IF(J787="SRO/Studio",O787,0)</f>
        <v>0</v>
      </c>
      <c r="CQ787" s="1290"/>
      <c r="CR787" s="1290"/>
      <c r="CS787" s="1290"/>
      <c r="CT787" s="1291"/>
      <c r="CU787" s="1289">
        <f t="shared" ref="CU787:CU796" si="42">IF(J787="1 Bedroom",O787,0)</f>
        <v>0</v>
      </c>
      <c r="CV787" s="1290"/>
      <c r="CW787" s="1290"/>
      <c r="CX787" s="1290"/>
      <c r="CY787" s="1291"/>
      <c r="CZ787" s="1289">
        <f t="shared" ref="CZ787:CZ796" si="43">IF(J787="2 Bedrooms",O787,0)</f>
        <v>0</v>
      </c>
      <c r="DA787" s="1290"/>
      <c r="DB787" s="1290"/>
      <c r="DC787" s="1290"/>
      <c r="DD787" s="1291"/>
      <c r="DE787" s="1289">
        <f t="shared" ref="DE787:DE796" si="44">IF(J787="3 Bedrooms",O787,0)</f>
        <v>0</v>
      </c>
      <c r="DF787" s="1290"/>
      <c r="DG787" s="1290"/>
      <c r="DH787" s="1290"/>
      <c r="DI787" s="1291"/>
      <c r="DJ787" s="1289">
        <f t="shared" ref="DJ787:DJ796" si="45">IF(J787="4 Bedrooms",O787,0)</f>
        <v>0</v>
      </c>
      <c r="DK787" s="1290"/>
      <c r="DL787" s="1290"/>
      <c r="DM787" s="1290"/>
      <c r="DN787" s="1291"/>
      <c r="DO787" s="1289">
        <f t="shared" ref="DO787:DO796" si="46">IF(J787="5 Bedrooms",O787,0)</f>
        <v>0</v>
      </c>
      <c r="DP787" s="1290"/>
      <c r="DQ787" s="1290"/>
      <c r="DR787" s="1290"/>
      <c r="DS787" s="1291"/>
      <c r="DT787" s="1068"/>
      <c r="DU787" s="1289">
        <f t="shared" ref="DU787:DU796" si="47">IF(AND(CP787&gt;=1,AH787&gt;=0.1,AH787&lt;=1),O787,0)</f>
        <v>0</v>
      </c>
      <c r="DV787" s="1290"/>
      <c r="DW787" s="1290"/>
      <c r="DX787" s="1290"/>
      <c r="DY787" s="1291"/>
      <c r="DZ787" s="1289">
        <f t="shared" ref="DZ787:DZ796" si="48">IF(AND(CU787&gt;=1,AH787&gt;=0.1,AH787&lt;=1),O787,0)</f>
        <v>0</v>
      </c>
      <c r="EA787" s="1290"/>
      <c r="EB787" s="1290"/>
      <c r="EC787" s="1290"/>
      <c r="ED787" s="1291"/>
      <c r="EE787" s="1289">
        <f t="shared" ref="EE787:EE796" si="49">IF(AND(CZ787&gt;=1,AH787&gt;=0.1,AH787&lt;=1),O787,0)</f>
        <v>0</v>
      </c>
      <c r="EF787" s="1290"/>
      <c r="EG787" s="1290"/>
      <c r="EH787" s="1290"/>
      <c r="EI787" s="1291"/>
      <c r="EJ787" s="1289">
        <f t="shared" ref="EJ787:EJ796" si="50">IF(AND(DE787&gt;=1,AH787&gt;=0.1,AH787&lt;=1),O787,0)</f>
        <v>0</v>
      </c>
      <c r="EK787" s="1290"/>
      <c r="EL787" s="1290"/>
      <c r="EM787" s="1290"/>
      <c r="EN787" s="1291"/>
      <c r="EO787" s="1289">
        <f t="shared" ref="EO787:EO796" si="51">IF(AND(DJ787&gt;=1,AH787&gt;=0.1,AH787&lt;=1),O787,0)</f>
        <v>0</v>
      </c>
      <c r="EP787" s="1290"/>
      <c r="EQ787" s="1290"/>
      <c r="ER787" s="1290"/>
      <c r="ES787" s="1291"/>
      <c r="ET787" s="1289">
        <f t="shared" ref="ET787:ET796" si="52">IF(AND(DO787&gt;=1,AH787&gt;=0.1,AH787&lt;=1),O787,0)</f>
        <v>0</v>
      </c>
      <c r="EU787" s="1290"/>
      <c r="EV787" s="1290"/>
      <c r="EW787" s="1290"/>
      <c r="EX787" s="1291"/>
    </row>
    <row r="788" spans="1:154" s="11" customFormat="1" ht="13" customHeight="1">
      <c r="A788"/>
      <c r="B788"/>
      <c r="C788"/>
      <c r="D788"/>
      <c r="E788"/>
      <c r="F788"/>
      <c r="G788"/>
      <c r="H788"/>
      <c r="I788"/>
      <c r="J788" s="1306"/>
      <c r="K788" s="1307"/>
      <c r="L788" s="1307"/>
      <c r="M788" s="1307"/>
      <c r="N788" s="1308"/>
      <c r="O788" s="1465"/>
      <c r="P788" s="1465"/>
      <c r="Q788" s="1465"/>
      <c r="R788" s="1465"/>
      <c r="S788" s="1465"/>
      <c r="T788" s="1538"/>
      <c r="U788" s="1539"/>
      <c r="V788" s="1539"/>
      <c r="W788" s="1540"/>
      <c r="X788" s="1404"/>
      <c r="Y788" s="1405"/>
      <c r="Z788" s="1405"/>
      <c r="AA788" s="1405"/>
      <c r="AB788" s="1406"/>
      <c r="AC788" s="1309">
        <f t="shared" si="40"/>
        <v>0</v>
      </c>
      <c r="AD788" s="1310"/>
      <c r="AE788" s="1310"/>
      <c r="AF788" s="1310"/>
      <c r="AG788" s="1311"/>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89">
        <f t="shared" si="41"/>
        <v>0</v>
      </c>
      <c r="CQ788" s="1290"/>
      <c r="CR788" s="1290"/>
      <c r="CS788" s="1290"/>
      <c r="CT788" s="1291"/>
      <c r="CU788" s="1289">
        <f t="shared" si="42"/>
        <v>0</v>
      </c>
      <c r="CV788" s="1290"/>
      <c r="CW788" s="1290"/>
      <c r="CX788" s="1290"/>
      <c r="CY788" s="1291"/>
      <c r="CZ788" s="1289">
        <f t="shared" si="43"/>
        <v>0</v>
      </c>
      <c r="DA788" s="1290"/>
      <c r="DB788" s="1290"/>
      <c r="DC788" s="1290"/>
      <c r="DD788" s="1291"/>
      <c r="DE788" s="1289">
        <f t="shared" si="44"/>
        <v>0</v>
      </c>
      <c r="DF788" s="1290"/>
      <c r="DG788" s="1290"/>
      <c r="DH788" s="1290"/>
      <c r="DI788" s="1291"/>
      <c r="DJ788" s="1289">
        <f t="shared" si="45"/>
        <v>0</v>
      </c>
      <c r="DK788" s="1290"/>
      <c r="DL788" s="1290"/>
      <c r="DM788" s="1290"/>
      <c r="DN788" s="1291"/>
      <c r="DO788" s="1289">
        <f t="shared" si="46"/>
        <v>0</v>
      </c>
      <c r="DP788" s="1290"/>
      <c r="DQ788" s="1290"/>
      <c r="DR788" s="1290"/>
      <c r="DS788" s="1291"/>
      <c r="DT788" s="1068"/>
      <c r="DU788" s="1289">
        <f t="shared" si="47"/>
        <v>0</v>
      </c>
      <c r="DV788" s="1290"/>
      <c r="DW788" s="1290"/>
      <c r="DX788" s="1290"/>
      <c r="DY788" s="1291"/>
      <c r="DZ788" s="1289">
        <f t="shared" si="48"/>
        <v>0</v>
      </c>
      <c r="EA788" s="1290"/>
      <c r="EB788" s="1290"/>
      <c r="EC788" s="1290"/>
      <c r="ED788" s="1291"/>
      <c r="EE788" s="1289">
        <f t="shared" si="49"/>
        <v>0</v>
      </c>
      <c r="EF788" s="1290"/>
      <c r="EG788" s="1290"/>
      <c r="EH788" s="1290"/>
      <c r="EI788" s="1291"/>
      <c r="EJ788" s="1289">
        <f t="shared" si="50"/>
        <v>0</v>
      </c>
      <c r="EK788" s="1290"/>
      <c r="EL788" s="1290"/>
      <c r="EM788" s="1290"/>
      <c r="EN788" s="1291"/>
      <c r="EO788" s="1289">
        <f t="shared" si="51"/>
        <v>0</v>
      </c>
      <c r="EP788" s="1290"/>
      <c r="EQ788" s="1290"/>
      <c r="ER788" s="1290"/>
      <c r="ES788" s="1291"/>
      <c r="ET788" s="1289">
        <f t="shared" si="52"/>
        <v>0</v>
      </c>
      <c r="EU788" s="1290"/>
      <c r="EV788" s="1290"/>
      <c r="EW788" s="1290"/>
      <c r="EX788" s="1291"/>
    </row>
    <row r="789" spans="1:154" s="11" customFormat="1" ht="13" customHeight="1">
      <c r="A789"/>
      <c r="B789"/>
      <c r="C789"/>
      <c r="D789"/>
      <c r="E789"/>
      <c r="F789"/>
      <c r="G789"/>
      <c r="H789"/>
      <c r="I789"/>
      <c r="J789" s="1306"/>
      <c r="K789" s="1307"/>
      <c r="L789" s="1307"/>
      <c r="M789" s="1307"/>
      <c r="N789" s="1308"/>
      <c r="O789" s="1465"/>
      <c r="P789" s="1465"/>
      <c r="Q789" s="1465"/>
      <c r="R789" s="1465"/>
      <c r="S789" s="1465"/>
      <c r="T789" s="1538"/>
      <c r="U789" s="1539"/>
      <c r="V789" s="1539"/>
      <c r="W789" s="1540"/>
      <c r="X789" s="1404"/>
      <c r="Y789" s="1405"/>
      <c r="Z789" s="1405"/>
      <c r="AA789" s="1405"/>
      <c r="AB789" s="1406"/>
      <c r="AC789" s="1309">
        <f t="shared" si="40"/>
        <v>0</v>
      </c>
      <c r="AD789" s="1310"/>
      <c r="AE789" s="1310"/>
      <c r="AF789" s="1310"/>
      <c r="AG789" s="1311"/>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89">
        <f t="shared" si="41"/>
        <v>0</v>
      </c>
      <c r="CQ789" s="1290"/>
      <c r="CR789" s="1290"/>
      <c r="CS789" s="1290"/>
      <c r="CT789" s="1291"/>
      <c r="CU789" s="1289">
        <f t="shared" si="42"/>
        <v>0</v>
      </c>
      <c r="CV789" s="1290"/>
      <c r="CW789" s="1290"/>
      <c r="CX789" s="1290"/>
      <c r="CY789" s="1291"/>
      <c r="CZ789" s="1289">
        <f t="shared" si="43"/>
        <v>0</v>
      </c>
      <c r="DA789" s="1290"/>
      <c r="DB789" s="1290"/>
      <c r="DC789" s="1290"/>
      <c r="DD789" s="1291"/>
      <c r="DE789" s="1289">
        <f t="shared" si="44"/>
        <v>0</v>
      </c>
      <c r="DF789" s="1290"/>
      <c r="DG789" s="1290"/>
      <c r="DH789" s="1290"/>
      <c r="DI789" s="1291"/>
      <c r="DJ789" s="1289">
        <f t="shared" si="45"/>
        <v>0</v>
      </c>
      <c r="DK789" s="1290"/>
      <c r="DL789" s="1290"/>
      <c r="DM789" s="1290"/>
      <c r="DN789" s="1291"/>
      <c r="DO789" s="1289">
        <f t="shared" si="46"/>
        <v>0</v>
      </c>
      <c r="DP789" s="1290"/>
      <c r="DQ789" s="1290"/>
      <c r="DR789" s="1290"/>
      <c r="DS789" s="1291"/>
      <c r="DT789" s="1068"/>
      <c r="DU789" s="1289">
        <f t="shared" si="47"/>
        <v>0</v>
      </c>
      <c r="DV789" s="1290"/>
      <c r="DW789" s="1290"/>
      <c r="DX789" s="1290"/>
      <c r="DY789" s="1291"/>
      <c r="DZ789" s="1289">
        <f t="shared" si="48"/>
        <v>0</v>
      </c>
      <c r="EA789" s="1290"/>
      <c r="EB789" s="1290"/>
      <c r="EC789" s="1290"/>
      <c r="ED789" s="1291"/>
      <c r="EE789" s="1289">
        <f t="shared" si="49"/>
        <v>0</v>
      </c>
      <c r="EF789" s="1290"/>
      <c r="EG789" s="1290"/>
      <c r="EH789" s="1290"/>
      <c r="EI789" s="1291"/>
      <c r="EJ789" s="1289">
        <f t="shared" si="50"/>
        <v>0</v>
      </c>
      <c r="EK789" s="1290"/>
      <c r="EL789" s="1290"/>
      <c r="EM789" s="1290"/>
      <c r="EN789" s="1291"/>
      <c r="EO789" s="1289">
        <f t="shared" si="51"/>
        <v>0</v>
      </c>
      <c r="EP789" s="1290"/>
      <c r="EQ789" s="1290"/>
      <c r="ER789" s="1290"/>
      <c r="ES789" s="1291"/>
      <c r="ET789" s="1289">
        <f t="shared" si="52"/>
        <v>0</v>
      </c>
      <c r="EU789" s="1290"/>
      <c r="EV789" s="1290"/>
      <c r="EW789" s="1290"/>
      <c r="EX789" s="1291"/>
    </row>
    <row r="790" spans="1:154" s="11" customFormat="1" ht="13" customHeight="1">
      <c r="A790"/>
      <c r="B790"/>
      <c r="C790"/>
      <c r="D790"/>
      <c r="E790"/>
      <c r="F790"/>
      <c r="G790"/>
      <c r="H790"/>
      <c r="I790"/>
      <c r="J790" s="1306"/>
      <c r="K790" s="1307"/>
      <c r="L790" s="1307"/>
      <c r="M790" s="1307"/>
      <c r="N790" s="1308"/>
      <c r="O790" s="1465"/>
      <c r="P790" s="1465"/>
      <c r="Q790" s="1465"/>
      <c r="R790" s="1465"/>
      <c r="S790" s="1465"/>
      <c r="T790" s="1538"/>
      <c r="U790" s="1539"/>
      <c r="V790" s="1539"/>
      <c r="W790" s="1540"/>
      <c r="X790" s="1404"/>
      <c r="Y790" s="1405"/>
      <c r="Z790" s="1405"/>
      <c r="AA790" s="1405"/>
      <c r="AB790" s="1406"/>
      <c r="AC790" s="1309">
        <f t="shared" si="40"/>
        <v>0</v>
      </c>
      <c r="AD790" s="1310"/>
      <c r="AE790" s="1310"/>
      <c r="AF790" s="1310"/>
      <c r="AG790" s="1311"/>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89">
        <f t="shared" si="41"/>
        <v>0</v>
      </c>
      <c r="CQ790" s="1290"/>
      <c r="CR790" s="1290"/>
      <c r="CS790" s="1290"/>
      <c r="CT790" s="1291"/>
      <c r="CU790" s="1289">
        <f t="shared" si="42"/>
        <v>0</v>
      </c>
      <c r="CV790" s="1290"/>
      <c r="CW790" s="1290"/>
      <c r="CX790" s="1290"/>
      <c r="CY790" s="1291"/>
      <c r="CZ790" s="1289">
        <f t="shared" si="43"/>
        <v>0</v>
      </c>
      <c r="DA790" s="1290"/>
      <c r="DB790" s="1290"/>
      <c r="DC790" s="1290"/>
      <c r="DD790" s="1291"/>
      <c r="DE790" s="1289">
        <f t="shared" si="44"/>
        <v>0</v>
      </c>
      <c r="DF790" s="1290"/>
      <c r="DG790" s="1290"/>
      <c r="DH790" s="1290"/>
      <c r="DI790" s="1291"/>
      <c r="DJ790" s="1289">
        <f t="shared" si="45"/>
        <v>0</v>
      </c>
      <c r="DK790" s="1290"/>
      <c r="DL790" s="1290"/>
      <c r="DM790" s="1290"/>
      <c r="DN790" s="1291"/>
      <c r="DO790" s="1289">
        <f t="shared" si="46"/>
        <v>0</v>
      </c>
      <c r="DP790" s="1290"/>
      <c r="DQ790" s="1290"/>
      <c r="DR790" s="1290"/>
      <c r="DS790" s="1291"/>
      <c r="DT790" s="1068"/>
      <c r="DU790" s="1289">
        <f t="shared" si="47"/>
        <v>0</v>
      </c>
      <c r="DV790" s="1290"/>
      <c r="DW790" s="1290"/>
      <c r="DX790" s="1290"/>
      <c r="DY790" s="1291"/>
      <c r="DZ790" s="1289">
        <f t="shared" si="48"/>
        <v>0</v>
      </c>
      <c r="EA790" s="1290"/>
      <c r="EB790" s="1290"/>
      <c r="EC790" s="1290"/>
      <c r="ED790" s="1291"/>
      <c r="EE790" s="1289">
        <f t="shared" si="49"/>
        <v>0</v>
      </c>
      <c r="EF790" s="1290"/>
      <c r="EG790" s="1290"/>
      <c r="EH790" s="1290"/>
      <c r="EI790" s="1291"/>
      <c r="EJ790" s="1289">
        <f t="shared" si="50"/>
        <v>0</v>
      </c>
      <c r="EK790" s="1290"/>
      <c r="EL790" s="1290"/>
      <c r="EM790" s="1290"/>
      <c r="EN790" s="1291"/>
      <c r="EO790" s="1289">
        <f t="shared" si="51"/>
        <v>0</v>
      </c>
      <c r="EP790" s="1290"/>
      <c r="EQ790" s="1290"/>
      <c r="ER790" s="1290"/>
      <c r="ES790" s="1291"/>
      <c r="ET790" s="1289">
        <f t="shared" si="52"/>
        <v>0</v>
      </c>
      <c r="EU790" s="1290"/>
      <c r="EV790" s="1290"/>
      <c r="EW790" s="1290"/>
      <c r="EX790" s="1291"/>
    </row>
    <row r="791" spans="1:154" s="11" customFormat="1" ht="13" customHeight="1">
      <c r="A791"/>
      <c r="B791"/>
      <c r="C791"/>
      <c r="D791"/>
      <c r="E791"/>
      <c r="F791"/>
      <c r="G791"/>
      <c r="H791"/>
      <c r="I791"/>
      <c r="J791" s="1306"/>
      <c r="K791" s="1307"/>
      <c r="L791" s="1307"/>
      <c r="M791" s="1307"/>
      <c r="N791" s="1308"/>
      <c r="O791" s="1465"/>
      <c r="P791" s="1465"/>
      <c r="Q791" s="1465"/>
      <c r="R791" s="1465"/>
      <c r="S791" s="1465"/>
      <c r="T791" s="1538"/>
      <c r="U791" s="1539"/>
      <c r="V791" s="1539"/>
      <c r="W791" s="1540"/>
      <c r="X791" s="1404"/>
      <c r="Y791" s="1405"/>
      <c r="Z791" s="1405"/>
      <c r="AA791" s="1405"/>
      <c r="AB791" s="1406"/>
      <c r="AC791" s="1309">
        <f t="shared" si="40"/>
        <v>0</v>
      </c>
      <c r="AD791" s="1310"/>
      <c r="AE791" s="1310"/>
      <c r="AF791" s="1310"/>
      <c r="AG791" s="1311"/>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89">
        <f t="shared" si="41"/>
        <v>0</v>
      </c>
      <c r="CQ791" s="1290"/>
      <c r="CR791" s="1290"/>
      <c r="CS791" s="1290"/>
      <c r="CT791" s="1291"/>
      <c r="CU791" s="1289">
        <f t="shared" si="42"/>
        <v>0</v>
      </c>
      <c r="CV791" s="1290"/>
      <c r="CW791" s="1290"/>
      <c r="CX791" s="1290"/>
      <c r="CY791" s="1291"/>
      <c r="CZ791" s="1289">
        <f t="shared" si="43"/>
        <v>0</v>
      </c>
      <c r="DA791" s="1290"/>
      <c r="DB791" s="1290"/>
      <c r="DC791" s="1290"/>
      <c r="DD791" s="1291"/>
      <c r="DE791" s="1289">
        <f t="shared" si="44"/>
        <v>0</v>
      </c>
      <c r="DF791" s="1290"/>
      <c r="DG791" s="1290"/>
      <c r="DH791" s="1290"/>
      <c r="DI791" s="1291"/>
      <c r="DJ791" s="1289">
        <f t="shared" si="45"/>
        <v>0</v>
      </c>
      <c r="DK791" s="1290"/>
      <c r="DL791" s="1290"/>
      <c r="DM791" s="1290"/>
      <c r="DN791" s="1291"/>
      <c r="DO791" s="1289">
        <f t="shared" si="46"/>
        <v>0</v>
      </c>
      <c r="DP791" s="1290"/>
      <c r="DQ791" s="1290"/>
      <c r="DR791" s="1290"/>
      <c r="DS791" s="1291"/>
      <c r="DT791" s="1068"/>
      <c r="DU791" s="1289">
        <f t="shared" si="47"/>
        <v>0</v>
      </c>
      <c r="DV791" s="1290"/>
      <c r="DW791" s="1290"/>
      <c r="DX791" s="1290"/>
      <c r="DY791" s="1291"/>
      <c r="DZ791" s="1289">
        <f t="shared" si="48"/>
        <v>0</v>
      </c>
      <c r="EA791" s="1290"/>
      <c r="EB791" s="1290"/>
      <c r="EC791" s="1290"/>
      <c r="ED791" s="1291"/>
      <c r="EE791" s="1289">
        <f t="shared" si="49"/>
        <v>0</v>
      </c>
      <c r="EF791" s="1290"/>
      <c r="EG791" s="1290"/>
      <c r="EH791" s="1290"/>
      <c r="EI791" s="1291"/>
      <c r="EJ791" s="1289">
        <f t="shared" si="50"/>
        <v>0</v>
      </c>
      <c r="EK791" s="1290"/>
      <c r="EL791" s="1290"/>
      <c r="EM791" s="1290"/>
      <c r="EN791" s="1291"/>
      <c r="EO791" s="1289">
        <f t="shared" si="51"/>
        <v>0</v>
      </c>
      <c r="EP791" s="1290"/>
      <c r="EQ791" s="1290"/>
      <c r="ER791" s="1290"/>
      <c r="ES791" s="1291"/>
      <c r="ET791" s="1289">
        <f t="shared" si="52"/>
        <v>0</v>
      </c>
      <c r="EU791" s="1290"/>
      <c r="EV791" s="1290"/>
      <c r="EW791" s="1290"/>
      <c r="EX791" s="1291"/>
    </row>
    <row r="792" spans="1:154" s="11" customFormat="1" ht="13" customHeight="1">
      <c r="A792"/>
      <c r="B792"/>
      <c r="C792"/>
      <c r="D792"/>
      <c r="E792"/>
      <c r="F792"/>
      <c r="G792"/>
      <c r="H792"/>
      <c r="I792"/>
      <c r="J792" s="1306"/>
      <c r="K792" s="1307"/>
      <c r="L792" s="1307"/>
      <c r="M792" s="1307"/>
      <c r="N792" s="1308"/>
      <c r="O792" s="1465"/>
      <c r="P792" s="1465"/>
      <c r="Q792" s="1465"/>
      <c r="R792" s="1465"/>
      <c r="S792" s="1465"/>
      <c r="T792" s="1538"/>
      <c r="U792" s="1539"/>
      <c r="V792" s="1539"/>
      <c r="W792" s="1540"/>
      <c r="X792" s="1404"/>
      <c r="Y792" s="1405"/>
      <c r="Z792" s="1405"/>
      <c r="AA792" s="1405"/>
      <c r="AB792" s="1406"/>
      <c r="AC792" s="1309">
        <f t="shared" si="40"/>
        <v>0</v>
      </c>
      <c r="AD792" s="1310"/>
      <c r="AE792" s="1310"/>
      <c r="AF792" s="1310"/>
      <c r="AG792" s="1311"/>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89">
        <f t="shared" si="41"/>
        <v>0</v>
      </c>
      <c r="CQ792" s="1290"/>
      <c r="CR792" s="1290"/>
      <c r="CS792" s="1290"/>
      <c r="CT792" s="1291"/>
      <c r="CU792" s="1289">
        <f t="shared" si="42"/>
        <v>0</v>
      </c>
      <c r="CV792" s="1290"/>
      <c r="CW792" s="1290"/>
      <c r="CX792" s="1290"/>
      <c r="CY792" s="1291"/>
      <c r="CZ792" s="1289">
        <f t="shared" si="43"/>
        <v>0</v>
      </c>
      <c r="DA792" s="1290"/>
      <c r="DB792" s="1290"/>
      <c r="DC792" s="1290"/>
      <c r="DD792" s="1291"/>
      <c r="DE792" s="1289">
        <f t="shared" si="44"/>
        <v>0</v>
      </c>
      <c r="DF792" s="1290"/>
      <c r="DG792" s="1290"/>
      <c r="DH792" s="1290"/>
      <c r="DI792" s="1291"/>
      <c r="DJ792" s="1289">
        <f t="shared" si="45"/>
        <v>0</v>
      </c>
      <c r="DK792" s="1290"/>
      <c r="DL792" s="1290"/>
      <c r="DM792" s="1290"/>
      <c r="DN792" s="1291"/>
      <c r="DO792" s="1289">
        <f t="shared" si="46"/>
        <v>0</v>
      </c>
      <c r="DP792" s="1290"/>
      <c r="DQ792" s="1290"/>
      <c r="DR792" s="1290"/>
      <c r="DS792" s="1291"/>
      <c r="DT792" s="1068"/>
      <c r="DU792" s="1289">
        <f t="shared" si="47"/>
        <v>0</v>
      </c>
      <c r="DV792" s="1290"/>
      <c r="DW792" s="1290"/>
      <c r="DX792" s="1290"/>
      <c r="DY792" s="1291"/>
      <c r="DZ792" s="1289">
        <f t="shared" si="48"/>
        <v>0</v>
      </c>
      <c r="EA792" s="1290"/>
      <c r="EB792" s="1290"/>
      <c r="EC792" s="1290"/>
      <c r="ED792" s="1291"/>
      <c r="EE792" s="1289">
        <f t="shared" si="49"/>
        <v>0</v>
      </c>
      <c r="EF792" s="1290"/>
      <c r="EG792" s="1290"/>
      <c r="EH792" s="1290"/>
      <c r="EI792" s="1291"/>
      <c r="EJ792" s="1289">
        <f t="shared" si="50"/>
        <v>0</v>
      </c>
      <c r="EK792" s="1290"/>
      <c r="EL792" s="1290"/>
      <c r="EM792" s="1290"/>
      <c r="EN792" s="1291"/>
      <c r="EO792" s="1289">
        <f t="shared" si="51"/>
        <v>0</v>
      </c>
      <c r="EP792" s="1290"/>
      <c r="EQ792" s="1290"/>
      <c r="ER792" s="1290"/>
      <c r="ES792" s="1291"/>
      <c r="ET792" s="1289">
        <f t="shared" si="52"/>
        <v>0</v>
      </c>
      <c r="EU792" s="1290"/>
      <c r="EV792" s="1290"/>
      <c r="EW792" s="1290"/>
      <c r="EX792" s="1291"/>
    </row>
    <row r="793" spans="1:154" s="11" customFormat="1" ht="13" customHeight="1">
      <c r="A793"/>
      <c r="B793"/>
      <c r="C793"/>
      <c r="D793"/>
      <c r="E793"/>
      <c r="F793"/>
      <c r="G793"/>
      <c r="H793"/>
      <c r="I793"/>
      <c r="J793" s="1306"/>
      <c r="K793" s="1307"/>
      <c r="L793" s="1307"/>
      <c r="M793" s="1307"/>
      <c r="N793" s="1308"/>
      <c r="O793" s="1465"/>
      <c r="P793" s="1465"/>
      <c r="Q793" s="1465"/>
      <c r="R793" s="1465"/>
      <c r="S793" s="1465"/>
      <c r="T793" s="1538"/>
      <c r="U793" s="1539"/>
      <c r="V793" s="1539"/>
      <c r="W793" s="1540"/>
      <c r="X793" s="1404"/>
      <c r="Y793" s="1405"/>
      <c r="Z793" s="1405"/>
      <c r="AA793" s="1405"/>
      <c r="AB793" s="1406"/>
      <c r="AC793" s="1309">
        <f t="shared" si="40"/>
        <v>0</v>
      </c>
      <c r="AD793" s="1310"/>
      <c r="AE793" s="1310"/>
      <c r="AF793" s="1310"/>
      <c r="AG793" s="1311"/>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89">
        <f t="shared" si="41"/>
        <v>0</v>
      </c>
      <c r="CQ793" s="1290"/>
      <c r="CR793" s="1290"/>
      <c r="CS793" s="1290"/>
      <c r="CT793" s="1291"/>
      <c r="CU793" s="1289">
        <f t="shared" si="42"/>
        <v>0</v>
      </c>
      <c r="CV793" s="1290"/>
      <c r="CW793" s="1290"/>
      <c r="CX793" s="1290"/>
      <c r="CY793" s="1291"/>
      <c r="CZ793" s="1289">
        <f t="shared" si="43"/>
        <v>0</v>
      </c>
      <c r="DA793" s="1290"/>
      <c r="DB793" s="1290"/>
      <c r="DC793" s="1290"/>
      <c r="DD793" s="1291"/>
      <c r="DE793" s="1289">
        <f t="shared" si="44"/>
        <v>0</v>
      </c>
      <c r="DF793" s="1290"/>
      <c r="DG793" s="1290"/>
      <c r="DH793" s="1290"/>
      <c r="DI793" s="1291"/>
      <c r="DJ793" s="1289">
        <f t="shared" si="45"/>
        <v>0</v>
      </c>
      <c r="DK793" s="1290"/>
      <c r="DL793" s="1290"/>
      <c r="DM793" s="1290"/>
      <c r="DN793" s="1291"/>
      <c r="DO793" s="1289">
        <f t="shared" si="46"/>
        <v>0</v>
      </c>
      <c r="DP793" s="1290"/>
      <c r="DQ793" s="1290"/>
      <c r="DR793" s="1290"/>
      <c r="DS793" s="1291"/>
      <c r="DT793" s="1068"/>
      <c r="DU793" s="1289">
        <f t="shared" si="47"/>
        <v>0</v>
      </c>
      <c r="DV793" s="1290"/>
      <c r="DW793" s="1290"/>
      <c r="DX793" s="1290"/>
      <c r="DY793" s="1291"/>
      <c r="DZ793" s="1289">
        <f t="shared" si="48"/>
        <v>0</v>
      </c>
      <c r="EA793" s="1290"/>
      <c r="EB793" s="1290"/>
      <c r="EC793" s="1290"/>
      <c r="ED793" s="1291"/>
      <c r="EE793" s="1289">
        <f t="shared" si="49"/>
        <v>0</v>
      </c>
      <c r="EF793" s="1290"/>
      <c r="EG793" s="1290"/>
      <c r="EH793" s="1290"/>
      <c r="EI793" s="1291"/>
      <c r="EJ793" s="1289">
        <f t="shared" si="50"/>
        <v>0</v>
      </c>
      <c r="EK793" s="1290"/>
      <c r="EL793" s="1290"/>
      <c r="EM793" s="1290"/>
      <c r="EN793" s="1291"/>
      <c r="EO793" s="1289">
        <f t="shared" si="51"/>
        <v>0</v>
      </c>
      <c r="EP793" s="1290"/>
      <c r="EQ793" s="1290"/>
      <c r="ER793" s="1290"/>
      <c r="ES793" s="1291"/>
      <c r="ET793" s="1289">
        <f t="shared" si="52"/>
        <v>0</v>
      </c>
      <c r="EU793" s="1290"/>
      <c r="EV793" s="1290"/>
      <c r="EW793" s="1290"/>
      <c r="EX793" s="1291"/>
    </row>
    <row r="794" spans="1:154" s="11" customFormat="1" ht="13" customHeight="1">
      <c r="A794"/>
      <c r="B794"/>
      <c r="C794"/>
      <c r="D794"/>
      <c r="E794"/>
      <c r="F794"/>
      <c r="G794"/>
      <c r="H794"/>
      <c r="I794"/>
      <c r="J794" s="1306"/>
      <c r="K794" s="1307"/>
      <c r="L794" s="1307"/>
      <c r="M794" s="1307"/>
      <c r="N794" s="1308"/>
      <c r="O794" s="1465"/>
      <c r="P794" s="1465"/>
      <c r="Q794" s="1465"/>
      <c r="R794" s="1465"/>
      <c r="S794" s="1465"/>
      <c r="T794" s="1538"/>
      <c r="U794" s="1539"/>
      <c r="V794" s="1539"/>
      <c r="W794" s="1540"/>
      <c r="X794" s="1404"/>
      <c r="Y794" s="1405"/>
      <c r="Z794" s="1405"/>
      <c r="AA794" s="1405"/>
      <c r="AB794" s="1406"/>
      <c r="AC794" s="1309">
        <f t="shared" si="40"/>
        <v>0</v>
      </c>
      <c r="AD794" s="1310"/>
      <c r="AE794" s="1310"/>
      <c r="AF794" s="1310"/>
      <c r="AG794" s="1311"/>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89">
        <f t="shared" si="41"/>
        <v>0</v>
      </c>
      <c r="CQ794" s="1290"/>
      <c r="CR794" s="1290"/>
      <c r="CS794" s="1290"/>
      <c r="CT794" s="1291"/>
      <c r="CU794" s="1289">
        <f t="shared" si="42"/>
        <v>0</v>
      </c>
      <c r="CV794" s="1290"/>
      <c r="CW794" s="1290"/>
      <c r="CX794" s="1290"/>
      <c r="CY794" s="1291"/>
      <c r="CZ794" s="1289">
        <f t="shared" si="43"/>
        <v>0</v>
      </c>
      <c r="DA794" s="1290"/>
      <c r="DB794" s="1290"/>
      <c r="DC794" s="1290"/>
      <c r="DD794" s="1291"/>
      <c r="DE794" s="1289">
        <f t="shared" si="44"/>
        <v>0</v>
      </c>
      <c r="DF794" s="1290"/>
      <c r="DG794" s="1290"/>
      <c r="DH794" s="1290"/>
      <c r="DI794" s="1291"/>
      <c r="DJ794" s="1289">
        <f t="shared" si="45"/>
        <v>0</v>
      </c>
      <c r="DK794" s="1290"/>
      <c r="DL794" s="1290"/>
      <c r="DM794" s="1290"/>
      <c r="DN794" s="1291"/>
      <c r="DO794" s="1289">
        <f t="shared" si="46"/>
        <v>0</v>
      </c>
      <c r="DP794" s="1290"/>
      <c r="DQ794" s="1290"/>
      <c r="DR794" s="1290"/>
      <c r="DS794" s="1291"/>
      <c r="DT794" s="1068"/>
      <c r="DU794" s="1289">
        <f t="shared" si="47"/>
        <v>0</v>
      </c>
      <c r="DV794" s="1290"/>
      <c r="DW794" s="1290"/>
      <c r="DX794" s="1290"/>
      <c r="DY794" s="1291"/>
      <c r="DZ794" s="1289">
        <f t="shared" si="48"/>
        <v>0</v>
      </c>
      <c r="EA794" s="1290"/>
      <c r="EB794" s="1290"/>
      <c r="EC794" s="1290"/>
      <c r="ED794" s="1291"/>
      <c r="EE794" s="1289">
        <f t="shared" si="49"/>
        <v>0</v>
      </c>
      <c r="EF794" s="1290"/>
      <c r="EG794" s="1290"/>
      <c r="EH794" s="1290"/>
      <c r="EI794" s="1291"/>
      <c r="EJ794" s="1289">
        <f t="shared" si="50"/>
        <v>0</v>
      </c>
      <c r="EK794" s="1290"/>
      <c r="EL794" s="1290"/>
      <c r="EM794" s="1290"/>
      <c r="EN794" s="1291"/>
      <c r="EO794" s="1289">
        <f t="shared" si="51"/>
        <v>0</v>
      </c>
      <c r="EP794" s="1290"/>
      <c r="EQ794" s="1290"/>
      <c r="ER794" s="1290"/>
      <c r="ES794" s="1291"/>
      <c r="ET794" s="1289">
        <f t="shared" si="52"/>
        <v>0</v>
      </c>
      <c r="EU794" s="1290"/>
      <c r="EV794" s="1290"/>
      <c r="EW794" s="1290"/>
      <c r="EX794" s="1291"/>
    </row>
    <row r="795" spans="1:154" s="11" customFormat="1" ht="13" customHeight="1">
      <c r="A795"/>
      <c r="B795"/>
      <c r="C795"/>
      <c r="D795"/>
      <c r="E795"/>
      <c r="F795"/>
      <c r="G795"/>
      <c r="H795"/>
      <c r="I795"/>
      <c r="J795" s="1306"/>
      <c r="K795" s="1307"/>
      <c r="L795" s="1307"/>
      <c r="M795" s="1307"/>
      <c r="N795" s="1308"/>
      <c r="O795" s="1465"/>
      <c r="P795" s="1465"/>
      <c r="Q795" s="1465"/>
      <c r="R795" s="1465"/>
      <c r="S795" s="1465"/>
      <c r="T795" s="1538"/>
      <c r="U795" s="1539"/>
      <c r="V795" s="1539"/>
      <c r="W795" s="1540"/>
      <c r="X795" s="1404"/>
      <c r="Y795" s="1405"/>
      <c r="Z795" s="1405"/>
      <c r="AA795" s="1405"/>
      <c r="AB795" s="1406"/>
      <c r="AC795" s="1309">
        <f t="shared" si="40"/>
        <v>0</v>
      </c>
      <c r="AD795" s="1310"/>
      <c r="AE795" s="1310"/>
      <c r="AF795" s="1310"/>
      <c r="AG795" s="1311"/>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89">
        <f t="shared" si="41"/>
        <v>0</v>
      </c>
      <c r="CQ795" s="1290"/>
      <c r="CR795" s="1290"/>
      <c r="CS795" s="1290"/>
      <c r="CT795" s="1291"/>
      <c r="CU795" s="1289">
        <f t="shared" si="42"/>
        <v>0</v>
      </c>
      <c r="CV795" s="1290"/>
      <c r="CW795" s="1290"/>
      <c r="CX795" s="1290"/>
      <c r="CY795" s="1291"/>
      <c r="CZ795" s="1289">
        <f t="shared" si="43"/>
        <v>0</v>
      </c>
      <c r="DA795" s="1290"/>
      <c r="DB795" s="1290"/>
      <c r="DC795" s="1290"/>
      <c r="DD795" s="1291"/>
      <c r="DE795" s="1289">
        <f t="shared" si="44"/>
        <v>0</v>
      </c>
      <c r="DF795" s="1290"/>
      <c r="DG795" s="1290"/>
      <c r="DH795" s="1290"/>
      <c r="DI795" s="1291"/>
      <c r="DJ795" s="1289">
        <f t="shared" si="45"/>
        <v>0</v>
      </c>
      <c r="DK795" s="1290"/>
      <c r="DL795" s="1290"/>
      <c r="DM795" s="1290"/>
      <c r="DN795" s="1291"/>
      <c r="DO795" s="1289">
        <f t="shared" si="46"/>
        <v>0</v>
      </c>
      <c r="DP795" s="1290"/>
      <c r="DQ795" s="1290"/>
      <c r="DR795" s="1290"/>
      <c r="DS795" s="1291"/>
      <c r="DT795" s="1068"/>
      <c r="DU795" s="1289">
        <f t="shared" si="47"/>
        <v>0</v>
      </c>
      <c r="DV795" s="1290"/>
      <c r="DW795" s="1290"/>
      <c r="DX795" s="1290"/>
      <c r="DY795" s="1291"/>
      <c r="DZ795" s="1289">
        <f t="shared" si="48"/>
        <v>0</v>
      </c>
      <c r="EA795" s="1290"/>
      <c r="EB795" s="1290"/>
      <c r="EC795" s="1290"/>
      <c r="ED795" s="1291"/>
      <c r="EE795" s="1289">
        <f t="shared" si="49"/>
        <v>0</v>
      </c>
      <c r="EF795" s="1290"/>
      <c r="EG795" s="1290"/>
      <c r="EH795" s="1290"/>
      <c r="EI795" s="1291"/>
      <c r="EJ795" s="1289">
        <f t="shared" si="50"/>
        <v>0</v>
      </c>
      <c r="EK795" s="1290"/>
      <c r="EL795" s="1290"/>
      <c r="EM795" s="1290"/>
      <c r="EN795" s="1291"/>
      <c r="EO795" s="1289">
        <f t="shared" si="51"/>
        <v>0</v>
      </c>
      <c r="EP795" s="1290"/>
      <c r="EQ795" s="1290"/>
      <c r="ER795" s="1290"/>
      <c r="ES795" s="1291"/>
      <c r="ET795" s="1289">
        <f t="shared" si="52"/>
        <v>0</v>
      </c>
      <c r="EU795" s="1290"/>
      <c r="EV795" s="1290"/>
      <c r="EW795" s="1290"/>
      <c r="EX795" s="1291"/>
    </row>
    <row r="796" spans="1:154" s="3" customFormat="1" ht="13" customHeight="1">
      <c r="A796"/>
      <c r="B796"/>
      <c r="C796"/>
      <c r="D796"/>
      <c r="E796"/>
      <c r="F796"/>
      <c r="G796"/>
      <c r="H796"/>
      <c r="I796"/>
      <c r="J796" s="1306"/>
      <c r="K796" s="1307"/>
      <c r="L796" s="1307"/>
      <c r="M796" s="1307"/>
      <c r="N796" s="1308"/>
      <c r="O796" s="1465"/>
      <c r="P796" s="1465"/>
      <c r="Q796" s="1465"/>
      <c r="R796" s="1465"/>
      <c r="S796" s="1465"/>
      <c r="T796" s="1538"/>
      <c r="U796" s="1539"/>
      <c r="V796" s="1539"/>
      <c r="W796" s="1540"/>
      <c r="X796" s="1404"/>
      <c r="Y796" s="1405"/>
      <c r="Z796" s="1405"/>
      <c r="AA796" s="1405"/>
      <c r="AB796" s="1406"/>
      <c r="AC796" s="1309">
        <f t="shared" si="40"/>
        <v>0</v>
      </c>
      <c r="AD796" s="1310"/>
      <c r="AE796" s="1310"/>
      <c r="AF796" s="1310"/>
      <c r="AG796" s="1311"/>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89">
        <f t="shared" si="41"/>
        <v>0</v>
      </c>
      <c r="CQ796" s="1290"/>
      <c r="CR796" s="1290"/>
      <c r="CS796" s="1290"/>
      <c r="CT796" s="1291"/>
      <c r="CU796" s="1289">
        <f t="shared" si="42"/>
        <v>0</v>
      </c>
      <c r="CV796" s="1290"/>
      <c r="CW796" s="1290"/>
      <c r="CX796" s="1290"/>
      <c r="CY796" s="1291"/>
      <c r="CZ796" s="1289">
        <f t="shared" si="43"/>
        <v>0</v>
      </c>
      <c r="DA796" s="1290"/>
      <c r="DB796" s="1290"/>
      <c r="DC796" s="1290"/>
      <c r="DD796" s="1291"/>
      <c r="DE796" s="1289">
        <f t="shared" si="44"/>
        <v>0</v>
      </c>
      <c r="DF796" s="1290"/>
      <c r="DG796" s="1290"/>
      <c r="DH796" s="1290"/>
      <c r="DI796" s="1291"/>
      <c r="DJ796" s="1289">
        <f t="shared" si="45"/>
        <v>0</v>
      </c>
      <c r="DK796" s="1290"/>
      <c r="DL796" s="1290"/>
      <c r="DM796" s="1290"/>
      <c r="DN796" s="1291"/>
      <c r="DO796" s="1289">
        <f t="shared" si="46"/>
        <v>0</v>
      </c>
      <c r="DP796" s="1290"/>
      <c r="DQ796" s="1290"/>
      <c r="DR796" s="1290"/>
      <c r="DS796" s="1291"/>
      <c r="DT796" s="1068"/>
      <c r="DU796" s="1289">
        <f t="shared" si="47"/>
        <v>0</v>
      </c>
      <c r="DV796" s="1290"/>
      <c r="DW796" s="1290"/>
      <c r="DX796" s="1290"/>
      <c r="DY796" s="1291"/>
      <c r="DZ796" s="1289">
        <f t="shared" si="48"/>
        <v>0</v>
      </c>
      <c r="EA796" s="1290"/>
      <c r="EB796" s="1290"/>
      <c r="EC796" s="1290"/>
      <c r="ED796" s="1291"/>
      <c r="EE796" s="1289">
        <f t="shared" si="49"/>
        <v>0</v>
      </c>
      <c r="EF796" s="1290"/>
      <c r="EG796" s="1290"/>
      <c r="EH796" s="1290"/>
      <c r="EI796" s="1291"/>
      <c r="EJ796" s="1289">
        <f t="shared" si="50"/>
        <v>0</v>
      </c>
      <c r="EK796" s="1290"/>
      <c r="EL796" s="1290"/>
      <c r="EM796" s="1290"/>
      <c r="EN796" s="1291"/>
      <c r="EO796" s="1289">
        <f t="shared" si="51"/>
        <v>0</v>
      </c>
      <c r="EP796" s="1290"/>
      <c r="EQ796" s="1290"/>
      <c r="ER796" s="1290"/>
      <c r="ES796" s="1291"/>
      <c r="ET796" s="1289">
        <f t="shared" si="52"/>
        <v>0</v>
      </c>
      <c r="EU796" s="1290"/>
      <c r="EV796" s="1290"/>
      <c r="EW796" s="1290"/>
      <c r="EX796" s="1291"/>
    </row>
    <row r="797" spans="1:154" s="3" customFormat="1" ht="13" customHeight="1">
      <c r="A797"/>
      <c r="B797"/>
      <c r="C797"/>
      <c r="D797"/>
      <c r="E797"/>
      <c r="F797"/>
      <c r="G797"/>
      <c r="H797"/>
      <c r="I797"/>
      <c r="J797" s="1527" t="s">
        <v>1500</v>
      </c>
      <c r="K797" s="1528"/>
      <c r="L797" s="1528"/>
      <c r="M797" s="1528"/>
      <c r="N797" s="1530"/>
      <c r="O797" s="1318">
        <f>SUM(O787:S796)</f>
        <v>0</v>
      </c>
      <c r="P797" s="1318"/>
      <c r="Q797" s="1318"/>
      <c r="R797" s="1318"/>
      <c r="S797" s="1318"/>
      <c r="T797"/>
      <c r="U797"/>
      <c r="V797"/>
      <c r="W797"/>
      <c r="X797" s="711" t="s">
        <v>1501</v>
      </c>
      <c r="Y797" s="9"/>
      <c r="Z797" s="9"/>
      <c r="AA797" s="9"/>
      <c r="AB797" s="715"/>
      <c r="AC797" s="1309">
        <f>SUM(AC787:AG796)</f>
        <v>0</v>
      </c>
      <c r="AD797" s="1310"/>
      <c r="AE797" s="1310"/>
      <c r="AF797" s="1310"/>
      <c r="AG797" s="1311"/>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2">
        <f>SUM(CP787:CT796)</f>
        <v>0</v>
      </c>
      <c r="CQ797" s="1293"/>
      <c r="CR797" s="1293"/>
      <c r="CS797" s="1293"/>
      <c r="CT797" s="1294"/>
      <c r="CU797" s="1292">
        <f>SUM(CU787:CY796)</f>
        <v>0</v>
      </c>
      <c r="CV797" s="1293"/>
      <c r="CW797" s="1293"/>
      <c r="CX797" s="1293"/>
      <c r="CY797" s="1294"/>
      <c r="CZ797" s="1292">
        <f>SUM(CZ787:DD796)</f>
        <v>0</v>
      </c>
      <c r="DA797" s="1293"/>
      <c r="DB797" s="1293"/>
      <c r="DC797" s="1293"/>
      <c r="DD797" s="1294"/>
      <c r="DE797" s="1292">
        <f>SUM(DE787:DI796)</f>
        <v>0</v>
      </c>
      <c r="DF797" s="1293"/>
      <c r="DG797" s="1293"/>
      <c r="DH797" s="1293"/>
      <c r="DI797" s="1294"/>
      <c r="DJ797" s="1292">
        <f>SUM(DJ787:DN796)</f>
        <v>0</v>
      </c>
      <c r="DK797" s="1293"/>
      <c r="DL797" s="1293"/>
      <c r="DM797" s="1293"/>
      <c r="DN797" s="1294"/>
      <c r="DO797" s="1292">
        <f>SUM(DO787:DS796)</f>
        <v>0</v>
      </c>
      <c r="DP797" s="1293"/>
      <c r="DQ797" s="1293"/>
      <c r="DR797" s="1293"/>
      <c r="DS797" s="1294"/>
      <c r="DT797" s="1068"/>
      <c r="DU797" s="1292">
        <f>SUM(DU787:DY796)</f>
        <v>0</v>
      </c>
      <c r="DV797" s="1293"/>
      <c r="DW797" s="1293"/>
      <c r="DX797" s="1293"/>
      <c r="DY797" s="1294"/>
      <c r="DZ797" s="1292">
        <f>SUM(DZ787:ED796)</f>
        <v>0</v>
      </c>
      <c r="EA797" s="1293"/>
      <c r="EB797" s="1293"/>
      <c r="EC797" s="1293"/>
      <c r="ED797" s="1294"/>
      <c r="EE797" s="1292">
        <f>SUM(EE787:EI796)</f>
        <v>0</v>
      </c>
      <c r="EF797" s="1293"/>
      <c r="EG797" s="1293"/>
      <c r="EH797" s="1293"/>
      <c r="EI797" s="1294"/>
      <c r="EJ797" s="1292">
        <f>SUM(EJ787:EN796)</f>
        <v>0</v>
      </c>
      <c r="EK797" s="1293"/>
      <c r="EL797" s="1293"/>
      <c r="EM797" s="1293"/>
      <c r="EN797" s="1294"/>
      <c r="EO797" s="1292">
        <f>SUM(EO787:ES796)</f>
        <v>0</v>
      </c>
      <c r="EP797" s="1293"/>
      <c r="EQ797" s="1293"/>
      <c r="ER797" s="1293"/>
      <c r="ES797" s="1294"/>
      <c r="ET797" s="1292">
        <f>SUM(ET787:EX796)</f>
        <v>0</v>
      </c>
      <c r="EU797" s="1293"/>
      <c r="EV797" s="1293"/>
      <c r="EW797" s="1293"/>
      <c r="EX797" s="1294"/>
    </row>
    <row r="798" spans="1:154" s="3" customFormat="1" ht="13" customHeight="1">
      <c r="A798"/>
      <c r="B798"/>
      <c r="C798" s="1325" t="str">
        <f>IF(O797&lt;&gt;AG438,"! Total market rate units in the Unit Mix Table above does not match the number of  market rate units on row #"&amp;TEXT(ROW(D438),"#"),"")</f>
        <v/>
      </c>
      <c r="D798" s="1325"/>
      <c r="E798" s="1325"/>
      <c r="F798" s="1325"/>
      <c r="G798" s="1325"/>
      <c r="H798" s="1325"/>
      <c r="I798" s="1325"/>
      <c r="J798" s="1325"/>
      <c r="K798" s="1325"/>
      <c r="L798" s="1325"/>
      <c r="M798" s="1325"/>
      <c r="N798" s="1325"/>
      <c r="O798" s="1325"/>
      <c r="P798" s="1325"/>
      <c r="Q798" s="1325"/>
      <c r="R798" s="1325"/>
      <c r="S798" s="1325"/>
      <c r="T798" s="1325"/>
      <c r="U798" s="1325"/>
      <c r="V798" s="1325"/>
      <c r="W798" s="1325"/>
      <c r="X798" s="1325"/>
      <c r="Y798" s="1325"/>
      <c r="Z798" s="1325"/>
      <c r="AA798" s="1325"/>
      <c r="AB798" s="1325"/>
      <c r="AC798" s="1325"/>
      <c r="AD798" s="1325"/>
      <c r="AE798" s="1325"/>
      <c r="AF798" s="1325"/>
      <c r="AG798" s="1325"/>
      <c r="AH798" s="1325"/>
      <c r="AI798" s="1325"/>
      <c r="AJ798" s="1325"/>
      <c r="AK798" s="1325"/>
      <c r="AL798" s="1325"/>
      <c r="AM798" s="1325"/>
      <c r="AN798" s="1325"/>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 customHeight="1">
      <c r="A799"/>
      <c r="B799"/>
      <c r="C799" s="1325"/>
      <c r="D799" s="1325"/>
      <c r="E799" s="1325"/>
      <c r="F799" s="1325"/>
      <c r="G799" s="1325"/>
      <c r="H799" s="1325"/>
      <c r="I799" s="1325"/>
      <c r="J799" s="1325"/>
      <c r="K799" s="1325"/>
      <c r="L799" s="1325"/>
      <c r="M799" s="1325"/>
      <c r="N799" s="1325"/>
      <c r="O799" s="1325"/>
      <c r="P799" s="1325"/>
      <c r="Q799" s="1325"/>
      <c r="R799" s="1325"/>
      <c r="S799" s="1325"/>
      <c r="T799" s="1325"/>
      <c r="U799" s="1325"/>
      <c r="V799" s="1325"/>
      <c r="W799" s="1325"/>
      <c r="X799" s="1325"/>
      <c r="Y799" s="1325"/>
      <c r="Z799" s="1325"/>
      <c r="AA799" s="1325"/>
      <c r="AB799" s="1325"/>
      <c r="AC799" s="1325"/>
      <c r="AD799" s="1325"/>
      <c r="AE799" s="1325"/>
      <c r="AF799" s="1325"/>
      <c r="AG799" s="1325"/>
      <c r="AH799" s="1325"/>
      <c r="AI799" s="1325"/>
      <c r="AJ799" s="1325"/>
      <c r="AK799" s="1325"/>
      <c r="AL799" s="1325"/>
      <c r="AM799" s="1325"/>
      <c r="AN799" s="1325"/>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1523</v>
      </c>
      <c r="DW799" s="2"/>
      <c r="DX799" s="2"/>
      <c r="DY799" s="2"/>
      <c r="DZ799" s="2"/>
      <c r="EA799" s="2"/>
      <c r="EB799" s="2"/>
      <c r="EC799" s="2"/>
      <c r="ED799" s="2"/>
      <c r="EE799" s="2"/>
      <c r="EF799" s="2"/>
      <c r="EG799" s="2"/>
      <c r="EH799" s="2"/>
      <c r="EI799"/>
      <c r="EJ799"/>
      <c r="EK799"/>
      <c r="EL799"/>
      <c r="EM799"/>
      <c r="EN799"/>
      <c r="EO799"/>
      <c r="EP799"/>
      <c r="EQ799"/>
      <c r="ER799"/>
      <c r="ES799" s="37" t="s">
        <v>1524</v>
      </c>
      <c r="ET799" s="1302">
        <f>SUM(DU797:EX797)</f>
        <v>0</v>
      </c>
      <c r="EU799" s="1303"/>
      <c r="EV799" s="1303"/>
      <c r="EW799" s="1303"/>
      <c r="EX799" s="1304"/>
    </row>
    <row r="800" spans="1:154" s="3" customFormat="1" ht="13" customHeight="1">
      <c r="A800"/>
      <c r="B800"/>
      <c r="C800"/>
      <c r="D800"/>
      <c r="E800"/>
      <c r="F800"/>
      <c r="G800"/>
      <c r="H800"/>
      <c r="I800"/>
      <c r="J800" s="1083"/>
      <c r="K800" s="4"/>
      <c r="L800" s="4"/>
      <c r="M800" s="4"/>
      <c r="N800" s="4"/>
      <c r="O800" s="4"/>
      <c r="P800" s="4"/>
      <c r="Q800" s="4"/>
      <c r="R800" s="4"/>
      <c r="S800" s="4"/>
      <c r="T800" s="4"/>
      <c r="U800" s="4"/>
      <c r="V800" s="4"/>
      <c r="W800" s="4"/>
      <c r="X800" s="1075" t="s">
        <v>1525</v>
      </c>
      <c r="Y800" s="1542">
        <f>O753+AC777+AC797</f>
        <v>57109</v>
      </c>
      <c r="Z800" s="1542"/>
      <c r="AA800" s="1542"/>
      <c r="AB800" s="1542"/>
      <c r="AC800" s="1542"/>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1526</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3" customHeight="1">
      <c r="A801"/>
      <c r="B801"/>
      <c r="C801"/>
      <c r="D801"/>
      <c r="E801"/>
      <c r="F801"/>
      <c r="G801"/>
      <c r="H801"/>
      <c r="I801"/>
      <c r="J801" s="31"/>
      <c r="K801" s="32"/>
      <c r="L801" s="32"/>
      <c r="M801" s="32"/>
      <c r="N801" s="32"/>
      <c r="O801" s="32"/>
      <c r="P801" s="32"/>
      <c r="Q801" s="32"/>
      <c r="R801" s="32"/>
      <c r="S801" s="32"/>
      <c r="T801" s="32"/>
      <c r="U801" s="32"/>
      <c r="V801" s="32"/>
      <c r="W801" s="32"/>
      <c r="X801" s="1079" t="s">
        <v>1527</v>
      </c>
      <c r="Y801" s="1542">
        <f>(O753+AC777+AC797)*12</f>
        <v>685308</v>
      </c>
      <c r="Z801" s="1542"/>
      <c r="AA801" s="1542"/>
      <c r="AB801" s="1542"/>
      <c r="AC801" s="1542"/>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1528</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3"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2">
        <f>CP753+CP777+CP797</f>
        <v>0</v>
      </c>
      <c r="CQ802" s="1293"/>
      <c r="CR802" s="1293"/>
      <c r="CS802" s="1293"/>
      <c r="CT802" s="1294"/>
      <c r="CU802" s="1292">
        <f>CU753+CU777+CU797</f>
        <v>64</v>
      </c>
      <c r="CV802" s="1293"/>
      <c r="CW802" s="1293"/>
      <c r="CX802" s="1293"/>
      <c r="CY802" s="1294"/>
      <c r="CZ802" s="1292">
        <f>CZ753+CZ777+CZ797</f>
        <v>16</v>
      </c>
      <c r="DA802" s="1293"/>
      <c r="DB802" s="1293"/>
      <c r="DC802" s="1293"/>
      <c r="DD802" s="1294"/>
      <c r="DE802" s="1292">
        <f>DE753+DE777+DE797</f>
        <v>0</v>
      </c>
      <c r="DF802" s="1293"/>
      <c r="DG802" s="1293"/>
      <c r="DH802" s="1293"/>
      <c r="DI802" s="1294"/>
      <c r="DJ802" s="1292">
        <f>DJ753+DJ777+DJ797</f>
        <v>0</v>
      </c>
      <c r="DK802" s="1293"/>
      <c r="DL802" s="1293"/>
      <c r="DM802" s="1293"/>
      <c r="DN802" s="1294"/>
      <c r="DO802" s="1292">
        <f>DO797+DO777+DO753</f>
        <v>0</v>
      </c>
      <c r="DP802" s="1293"/>
      <c r="DQ802" s="1293"/>
      <c r="DR802" s="1293"/>
      <c r="DS802" s="1294"/>
      <c r="DT802" s="2"/>
      <c r="DU802" s="683">
        <f>DU755+DU800</f>
        <v>94</v>
      </c>
      <c r="DV802" s="38" t="s">
        <v>1529</v>
      </c>
    </row>
    <row r="803" spans="1:126" s="3" customFormat="1" ht="13" customHeight="1">
      <c r="A803" s="1" t="s">
        <v>1010</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 customHeight="1">
      <c r="A804" s="1"/>
      <c r="B804" s="1"/>
      <c r="C804" s="1" t="s">
        <v>1530</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 customHeight="1">
      <c r="A806"/>
      <c r="B806"/>
      <c r="C806"/>
      <c r="D806"/>
      <c r="E806"/>
      <c r="F806"/>
      <c r="G806"/>
      <c r="H806" s="1083" t="s">
        <v>1531</v>
      </c>
      <c r="I806" s="4"/>
      <c r="J806" s="4"/>
      <c r="K806" s="4"/>
      <c r="L806" s="4"/>
      <c r="M806" s="4"/>
      <c r="N806" s="4"/>
      <c r="O806" s="4"/>
      <c r="P806" s="4"/>
      <c r="Q806" s="4"/>
      <c r="R806" s="4"/>
      <c r="S806" s="4"/>
      <c r="T806" s="4"/>
      <c r="U806" s="4"/>
      <c r="V806" s="4"/>
      <c r="W806" s="4"/>
      <c r="X806" s="4"/>
      <c r="Y806" s="4"/>
      <c r="Z806" s="1659"/>
      <c r="AA806" s="1533"/>
      <c r="AB806" s="1533"/>
      <c r="AC806" s="1533"/>
      <c r="AD806" s="1533"/>
      <c r="AE806" s="1534"/>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 customHeight="1">
      <c r="A807"/>
      <c r="B807"/>
      <c r="C807"/>
      <c r="D807"/>
      <c r="E807"/>
      <c r="F807"/>
      <c r="G807"/>
      <c r="H807" s="1083" t="s">
        <v>1532</v>
      </c>
      <c r="I807" s="4"/>
      <c r="J807" s="4"/>
      <c r="K807" s="4"/>
      <c r="L807" s="4"/>
      <c r="M807" s="4"/>
      <c r="N807" s="4"/>
      <c r="O807" s="4"/>
      <c r="P807" s="4"/>
      <c r="Q807" s="4"/>
      <c r="R807" s="4"/>
      <c r="S807" s="4"/>
      <c r="T807" s="4"/>
      <c r="U807" s="4"/>
      <c r="V807" s="4"/>
      <c r="W807" s="4"/>
      <c r="X807" s="4"/>
      <c r="Y807" s="4"/>
      <c r="Z807" s="1532"/>
      <c r="AA807" s="1533"/>
      <c r="AB807" s="1533"/>
      <c r="AC807" s="1533"/>
      <c r="AD807" s="1533"/>
      <c r="AE807" s="1534"/>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 customHeight="1">
      <c r="A808"/>
      <c r="B808"/>
      <c r="C808"/>
      <c r="D808"/>
      <c r="E808"/>
      <c r="F808"/>
      <c r="G808"/>
      <c r="H808" s="1083" t="s">
        <v>1533</v>
      </c>
      <c r="I808" s="4"/>
      <c r="J808" s="4"/>
      <c r="K808" s="4"/>
      <c r="L808" s="4"/>
      <c r="M808" s="4"/>
      <c r="N808" s="4"/>
      <c r="O808" s="4"/>
      <c r="P808" s="4"/>
      <c r="Q808" s="4"/>
      <c r="R808" s="4"/>
      <c r="S808" s="4"/>
      <c r="T808" s="4"/>
      <c r="U808" s="4"/>
      <c r="V808" s="4"/>
      <c r="W808" s="4"/>
      <c r="X808" s="4"/>
      <c r="Y808" s="4"/>
      <c r="Z808" s="1557"/>
      <c r="AA808" s="1469"/>
      <c r="AB808" s="1469"/>
      <c r="AC808" s="1469"/>
      <c r="AD808" s="1469"/>
      <c r="AE808" s="1558"/>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 customHeight="1">
      <c r="A809"/>
      <c r="B809"/>
      <c r="C809"/>
      <c r="D809"/>
      <c r="E809"/>
      <c r="F809"/>
      <c r="G809"/>
      <c r="H809" s="1083"/>
      <c r="I809" s="4"/>
      <c r="J809" s="4"/>
      <c r="K809" s="4"/>
      <c r="L809" s="4"/>
      <c r="M809" s="4"/>
      <c r="N809" s="4"/>
      <c r="O809" s="4"/>
      <c r="P809" s="4"/>
      <c r="Q809" s="4"/>
      <c r="R809" s="4"/>
      <c r="S809" s="4"/>
      <c r="T809" s="4"/>
      <c r="U809" s="4"/>
      <c r="V809" s="4"/>
      <c r="W809" s="4"/>
      <c r="X809" s="4"/>
      <c r="Y809" s="1074" t="s">
        <v>1534</v>
      </c>
      <c r="Z809" s="1407">
        <f>'Subsidy Contract Calculation'!J40</f>
        <v>0</v>
      </c>
      <c r="AA809" s="1408"/>
      <c r="AB809" s="1408"/>
      <c r="AC809" s="1408"/>
      <c r="AD809" s="1408"/>
      <c r="AE809" s="1409"/>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 customHeight="1">
      <c r="A811" s="1" t="s">
        <v>1022</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 customHeight="1">
      <c r="A813"/>
      <c r="B813"/>
      <c r="C813"/>
      <c r="D813"/>
      <c r="E813"/>
      <c r="F813"/>
      <c r="G813"/>
      <c r="H813" s="1083" t="s">
        <v>1535</v>
      </c>
      <c r="I813" s="4"/>
      <c r="J813" s="4"/>
      <c r="K813" s="4"/>
      <c r="L813" s="4"/>
      <c r="M813" s="4"/>
      <c r="N813" s="4"/>
      <c r="O813" s="4"/>
      <c r="P813" s="4"/>
      <c r="Q813" s="4"/>
      <c r="R813" s="4"/>
      <c r="S813" s="4"/>
      <c r="T813" s="4"/>
      <c r="U813" s="4"/>
      <c r="V813" s="4"/>
      <c r="W813" s="4"/>
      <c r="X813" s="4"/>
      <c r="Y813" s="4"/>
      <c r="Z813" s="1410">
        <v>6160</v>
      </c>
      <c r="AA813" s="1295"/>
      <c r="AB813" s="1295"/>
      <c r="AC813" s="1295"/>
      <c r="AD813" s="1295"/>
      <c r="AE813" s="1296"/>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 customHeight="1">
      <c r="A814"/>
      <c r="B814"/>
      <c r="C814"/>
      <c r="D814"/>
      <c r="E814"/>
      <c r="F814"/>
      <c r="G814"/>
      <c r="H814" s="1083" t="s">
        <v>1536</v>
      </c>
      <c r="I814" s="4"/>
      <c r="J814" s="4"/>
      <c r="K814" s="4"/>
      <c r="L814" s="4"/>
      <c r="M814" s="4"/>
      <c r="N814" s="4"/>
      <c r="O814" s="4"/>
      <c r="P814" s="4"/>
      <c r="Q814" s="4"/>
      <c r="R814" s="4"/>
      <c r="S814" s="4"/>
      <c r="T814" s="4"/>
      <c r="U814" s="4"/>
      <c r="V814" s="4"/>
      <c r="W814" s="4"/>
      <c r="X814" s="4"/>
      <c r="Y814" s="4"/>
      <c r="Z814" s="1410"/>
      <c r="AA814" s="1295"/>
      <c r="AB814" s="1295"/>
      <c r="AC814" s="1295"/>
      <c r="AD814" s="1295"/>
      <c r="AE814" s="1296"/>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 customHeight="1">
      <c r="A815"/>
      <c r="B815"/>
      <c r="C815"/>
      <c r="D815"/>
      <c r="E815"/>
      <c r="F815"/>
      <c r="G815"/>
      <c r="H815" s="1083" t="s">
        <v>1537</v>
      </c>
      <c r="I815" s="4"/>
      <c r="J815" s="4"/>
      <c r="K815" s="4"/>
      <c r="L815" s="4"/>
      <c r="M815" s="4"/>
      <c r="N815" s="4"/>
      <c r="O815" s="4"/>
      <c r="P815" s="4"/>
      <c r="Q815" s="4"/>
      <c r="R815" s="4"/>
      <c r="S815" s="4"/>
      <c r="T815" s="4"/>
      <c r="U815" s="4"/>
      <c r="V815" s="4"/>
      <c r="W815" s="4"/>
      <c r="X815" s="4"/>
      <c r="Y815" s="4"/>
      <c r="Z815" s="1410"/>
      <c r="AA815" s="1295"/>
      <c r="AB815" s="1295"/>
      <c r="AC815" s="1295"/>
      <c r="AD815" s="1295"/>
      <c r="AE815" s="1296"/>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 customHeight="1">
      <c r="A816"/>
      <c r="B816"/>
      <c r="C816"/>
      <c r="D816"/>
      <c r="E816"/>
      <c r="F816"/>
      <c r="G816"/>
      <c r="H816" s="1083" t="s">
        <v>1538</v>
      </c>
      <c r="I816" s="4"/>
      <c r="J816" s="4"/>
      <c r="K816" s="4"/>
      <c r="L816" s="4"/>
      <c r="M816" s="4"/>
      <c r="N816" s="4"/>
      <c r="O816" s="4"/>
      <c r="P816" s="1560" t="s">
        <v>1378</v>
      </c>
      <c r="Q816" s="1561"/>
      <c r="R816" s="1561"/>
      <c r="S816" s="1561"/>
      <c r="T816" s="1561"/>
      <c r="U816" s="1561"/>
      <c r="V816" s="1561"/>
      <c r="W816" s="1561"/>
      <c r="X816" s="1561"/>
      <c r="Y816" s="1562"/>
      <c r="Z816" s="1410"/>
      <c r="AA816" s="1295"/>
      <c r="AB816" s="1295"/>
      <c r="AC816" s="1295"/>
      <c r="AD816" s="1295"/>
      <c r="AE816" s="1296"/>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 customHeight="1">
      <c r="A817"/>
      <c r="B817"/>
      <c r="C817"/>
      <c r="D817"/>
      <c r="E817"/>
      <c r="F817"/>
      <c r="G817"/>
      <c r="H817" s="1083"/>
      <c r="I817" s="4"/>
      <c r="J817" s="4"/>
      <c r="K817" s="4"/>
      <c r="L817" s="4"/>
      <c r="M817" s="4"/>
      <c r="N817" s="4"/>
      <c r="O817" s="4"/>
      <c r="P817" s="4"/>
      <c r="Q817" s="4"/>
      <c r="R817" s="4"/>
      <c r="S817" s="4"/>
      <c r="T817" s="4"/>
      <c r="U817" s="4"/>
      <c r="V817" s="4"/>
      <c r="W817" s="4"/>
      <c r="X817" s="4"/>
      <c r="Y817" s="1074" t="s">
        <v>1539</v>
      </c>
      <c r="Z817" s="1407">
        <f>SUM(Z813:AE816)</f>
        <v>6160</v>
      </c>
      <c r="AA817" s="1408"/>
      <c r="AB817" s="1408"/>
      <c r="AC817" s="1408"/>
      <c r="AD817" s="1408"/>
      <c r="AE817" s="1409"/>
      <c r="AF817"/>
      <c r="AG817"/>
      <c r="AH817"/>
      <c r="AI817"/>
      <c r="AJ817"/>
      <c r="AK817"/>
      <c r="AL817"/>
      <c r="AM817"/>
      <c r="AN817"/>
      <c r="AO817"/>
      <c r="AP817"/>
      <c r="AQ817"/>
      <c r="AR817"/>
      <c r="AS817"/>
      <c r="AT817"/>
      <c r="AU817" s="2"/>
      <c r="AV817"/>
      <c r="AW817"/>
      <c r="AX817"/>
      <c r="AY817"/>
      <c r="AZ817" s="23"/>
      <c r="BA817" s="23"/>
      <c r="BB817" s="11"/>
      <c r="BC817" s="11"/>
    </row>
    <row r="818" spans="1:55" s="3" customFormat="1" ht="13" customHeight="1">
      <c r="A818"/>
      <c r="B818"/>
      <c r="C818"/>
      <c r="D818"/>
      <c r="E818"/>
      <c r="F818"/>
      <c r="G818"/>
      <c r="H818" s="1083"/>
      <c r="I818" s="4"/>
      <c r="J818" s="4"/>
      <c r="K818" s="4"/>
      <c r="L818" s="4"/>
      <c r="M818" s="4"/>
      <c r="N818" s="4"/>
      <c r="O818" s="4"/>
      <c r="P818" s="4"/>
      <c r="Q818" s="4"/>
      <c r="R818" s="4"/>
      <c r="S818" s="4"/>
      <c r="T818" s="4"/>
      <c r="U818" s="4"/>
      <c r="V818" s="4"/>
      <c r="W818" s="4"/>
      <c r="X818" s="4"/>
      <c r="Y818" s="1074" t="s">
        <v>1540</v>
      </c>
      <c r="Z818" s="1407">
        <f>Z817+Y801+Z809</f>
        <v>691468</v>
      </c>
      <c r="AA818" s="1408"/>
      <c r="AB818" s="1408"/>
      <c r="AC818" s="1408"/>
      <c r="AD818" s="1408"/>
      <c r="AE818" s="1409"/>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3"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3" customHeight="1">
      <c r="A820" s="1" t="s">
        <v>1048</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3" customHeight="1">
      <c r="A821"/>
      <c r="B821"/>
      <c r="C821" s="17" t="s">
        <v>1541</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3"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3" customHeight="1">
      <c r="A823"/>
      <c r="B823"/>
      <c r="C823" s="29"/>
      <c r="D823" s="30"/>
      <c r="E823" s="30"/>
      <c r="F823" s="30"/>
      <c r="G823" s="30"/>
      <c r="H823" s="30"/>
      <c r="I823" s="30"/>
      <c r="J823" s="30"/>
      <c r="K823" s="30"/>
      <c r="L823" s="39"/>
      <c r="M823" s="1624" t="s">
        <v>1542</v>
      </c>
      <c r="N823" s="1624"/>
      <c r="O823" s="1624"/>
      <c r="P823" s="1625"/>
      <c r="Q823" s="1556" t="s">
        <v>1543</v>
      </c>
      <c r="R823" s="1556"/>
      <c r="S823" s="1556"/>
      <c r="T823" s="1556"/>
      <c r="U823" s="1556" t="s">
        <v>1544</v>
      </c>
      <c r="V823" s="1556"/>
      <c r="W823" s="1556"/>
      <c r="X823" s="1556"/>
      <c r="Y823" s="1556" t="s">
        <v>1545</v>
      </c>
      <c r="Z823" s="1556"/>
      <c r="AA823" s="1556"/>
      <c r="AB823" s="1556"/>
      <c r="AC823" s="1556" t="s">
        <v>1546</v>
      </c>
      <c r="AD823" s="1556"/>
      <c r="AE823" s="1556"/>
      <c r="AF823" s="1556"/>
      <c r="AG823" s="1547" t="s">
        <v>1547</v>
      </c>
      <c r="AH823" s="1547"/>
      <c r="AI823" s="1547"/>
      <c r="AJ823" s="1547"/>
      <c r="AK823"/>
      <c r="AL823" s="2"/>
      <c r="AM823" s="2"/>
      <c r="AN823" s="2"/>
      <c r="AO823" s="2"/>
      <c r="AP823" s="2"/>
      <c r="AQ823" s="2"/>
      <c r="AR823" s="2"/>
      <c r="AS823" s="2"/>
      <c r="AT823" s="2"/>
      <c r="AU823" s="2"/>
      <c r="AV823" s="2"/>
      <c r="AW823" s="2"/>
      <c r="AX823" s="2"/>
      <c r="AY823" s="2"/>
      <c r="AZ823" s="23"/>
      <c r="BA823" s="23"/>
      <c r="BB823" s="11"/>
      <c r="BC823" s="11"/>
    </row>
    <row r="824" spans="1:55" s="11" customFormat="1" ht="13" customHeight="1">
      <c r="A824"/>
      <c r="B824"/>
      <c r="C824" s="31"/>
      <c r="D824" s="32"/>
      <c r="E824" s="32"/>
      <c r="F824" s="32"/>
      <c r="G824" s="32"/>
      <c r="H824" s="32"/>
      <c r="I824" s="32"/>
      <c r="J824" s="32"/>
      <c r="K824" s="32"/>
      <c r="L824" s="33"/>
      <c r="M824" s="1626"/>
      <c r="N824" s="1626"/>
      <c r="O824" s="1626"/>
      <c r="P824" s="1627"/>
      <c r="Q824" s="1556"/>
      <c r="R824" s="1556"/>
      <c r="S824" s="1556"/>
      <c r="T824" s="1556"/>
      <c r="U824" s="1556"/>
      <c r="V824" s="1556"/>
      <c r="W824" s="1556"/>
      <c r="X824" s="1556"/>
      <c r="Y824" s="1556"/>
      <c r="Z824" s="1556"/>
      <c r="AA824" s="1556"/>
      <c r="AB824" s="1556"/>
      <c r="AC824" s="1556"/>
      <c r="AD824" s="1556"/>
      <c r="AE824" s="1556"/>
      <c r="AF824" s="1556"/>
      <c r="AG824" s="1547"/>
      <c r="AH824" s="1547"/>
      <c r="AI824" s="1547"/>
      <c r="AJ824" s="1547"/>
      <c r="AK824"/>
      <c r="AL824" s="2"/>
      <c r="AM824" s="2"/>
      <c r="AN824" s="2"/>
      <c r="AO824" s="2"/>
      <c r="AP824" s="2"/>
      <c r="AQ824" s="2"/>
      <c r="AR824" s="2"/>
      <c r="AS824" s="2"/>
      <c r="AT824" s="2"/>
      <c r="AU824"/>
      <c r="AV824" s="2"/>
      <c r="AW824" s="2"/>
      <c r="AX824" s="2"/>
      <c r="AY824" s="2"/>
      <c r="AZ824" s="23"/>
      <c r="BA824" s="23"/>
    </row>
    <row r="825" spans="1:55" s="11" customFormat="1" ht="13" customHeight="1">
      <c r="A825"/>
      <c r="B825"/>
      <c r="C825" s="1541" t="s">
        <v>1548</v>
      </c>
      <c r="D825" s="1414"/>
      <c r="E825" s="1414"/>
      <c r="F825" s="1414"/>
      <c r="G825" s="1414"/>
      <c r="H825" s="1414"/>
      <c r="I825" s="32"/>
      <c r="J825" s="32"/>
      <c r="K825" s="32"/>
      <c r="L825" s="33"/>
      <c r="M825" s="1531"/>
      <c r="N825" s="1531"/>
      <c r="O825" s="1531"/>
      <c r="P825" s="1531"/>
      <c r="Q825" s="1531">
        <v>32</v>
      </c>
      <c r="R825" s="1531"/>
      <c r="S825" s="1531"/>
      <c r="T825" s="1531"/>
      <c r="U825" s="1531">
        <v>36</v>
      </c>
      <c r="V825" s="1531"/>
      <c r="W825" s="1531"/>
      <c r="X825" s="1531"/>
      <c r="Y825" s="1531"/>
      <c r="Z825" s="1531"/>
      <c r="AA825" s="1531"/>
      <c r="AB825" s="1531"/>
      <c r="AC825" s="1442"/>
      <c r="AD825" s="1443"/>
      <c r="AE825" s="1443"/>
      <c r="AF825" s="1444"/>
      <c r="AG825" s="1442"/>
      <c r="AH825" s="1443"/>
      <c r="AI825" s="1443"/>
      <c r="AJ825" s="1444"/>
      <c r="AK825"/>
      <c r="AL825" s="2"/>
      <c r="AM825" s="2"/>
      <c r="AN825" s="2"/>
      <c r="AO825" s="2"/>
      <c r="AP825" s="2"/>
      <c r="AQ825" s="2"/>
      <c r="AR825" s="2"/>
      <c r="AS825" s="2"/>
      <c r="AT825" s="2"/>
      <c r="AU825"/>
      <c r="AV825" s="2"/>
      <c r="AW825" s="2"/>
      <c r="AX825" s="2"/>
      <c r="AY825" s="2"/>
      <c r="AZ825" s="23"/>
      <c r="BA825" s="23"/>
    </row>
    <row r="826" spans="1:55" s="11" customFormat="1" ht="13" customHeight="1">
      <c r="A826"/>
      <c r="B826"/>
      <c r="C826" s="1454" t="s">
        <v>1549</v>
      </c>
      <c r="D826" s="1455"/>
      <c r="E826" s="1455"/>
      <c r="F826" s="1455"/>
      <c r="G826" s="1455"/>
      <c r="H826" s="1455"/>
      <c r="I826" s="4"/>
      <c r="J826" s="4"/>
      <c r="K826" s="4"/>
      <c r="L826" s="1084"/>
      <c r="M826" s="1531"/>
      <c r="N826" s="1531"/>
      <c r="O826" s="1531"/>
      <c r="P826" s="1531"/>
      <c r="Q826" s="1531">
        <v>39</v>
      </c>
      <c r="R826" s="1531"/>
      <c r="S826" s="1531"/>
      <c r="T826" s="1531"/>
      <c r="U826" s="1531">
        <v>55</v>
      </c>
      <c r="V826" s="1531"/>
      <c r="W826" s="1531"/>
      <c r="X826" s="1531"/>
      <c r="Y826" s="1531"/>
      <c r="Z826" s="1531"/>
      <c r="AA826" s="1531"/>
      <c r="AB826" s="1531"/>
      <c r="AC826" s="1442"/>
      <c r="AD826" s="1443"/>
      <c r="AE826" s="1443"/>
      <c r="AF826" s="1444"/>
      <c r="AG826" s="1442"/>
      <c r="AH826" s="1443"/>
      <c r="AI826" s="1443"/>
      <c r="AJ826" s="1444"/>
      <c r="AK826"/>
      <c r="AL826" s="2"/>
      <c r="AM826" s="2"/>
      <c r="AN826" s="2"/>
      <c r="AO826" s="2"/>
      <c r="AP826" s="2"/>
      <c r="AQ826" s="2"/>
      <c r="AR826" s="2"/>
      <c r="AS826" s="2"/>
      <c r="AT826" s="2"/>
      <c r="AU826"/>
      <c r="AV826" s="2"/>
      <c r="AW826" s="2"/>
      <c r="AX826" s="2"/>
      <c r="AY826" s="2"/>
      <c r="AZ826" s="23"/>
      <c r="BA826" s="23"/>
    </row>
    <row r="827" spans="1:55" s="11" customFormat="1" ht="13" customHeight="1">
      <c r="A827"/>
      <c r="B827"/>
      <c r="C827" s="1454" t="s">
        <v>1550</v>
      </c>
      <c r="D827" s="1455"/>
      <c r="E827" s="1455"/>
      <c r="F827" s="1455"/>
      <c r="G827" s="1455"/>
      <c r="H827" s="1455"/>
      <c r="I827" s="1087"/>
      <c r="J827" s="1087"/>
      <c r="K827" s="1087"/>
      <c r="L827" s="1102"/>
      <c r="M827" s="1531"/>
      <c r="N827" s="1531"/>
      <c r="O827" s="1531"/>
      <c r="P827" s="1531"/>
      <c r="Q827" s="1531">
        <v>24</v>
      </c>
      <c r="R827" s="1531"/>
      <c r="S827" s="1531"/>
      <c r="T827" s="1531"/>
      <c r="U827" s="1531">
        <v>29</v>
      </c>
      <c r="V827" s="1531"/>
      <c r="W827" s="1531"/>
      <c r="X827" s="1531"/>
      <c r="Y827" s="1531"/>
      <c r="Z827" s="1531"/>
      <c r="AA827" s="1531"/>
      <c r="AB827" s="1531"/>
      <c r="AC827" s="1442"/>
      <c r="AD827" s="1443"/>
      <c r="AE827" s="1443"/>
      <c r="AF827" s="1444"/>
      <c r="AG827" s="1442"/>
      <c r="AH827" s="1443"/>
      <c r="AI827" s="1443"/>
      <c r="AJ827" s="1444"/>
      <c r="AK827"/>
      <c r="AL827" s="2"/>
      <c r="AM827" s="2"/>
      <c r="AN827" s="2"/>
      <c r="AO827" s="2"/>
      <c r="AP827" s="2"/>
      <c r="AQ827" s="2"/>
      <c r="AR827" s="2"/>
      <c r="AS827" s="2"/>
      <c r="AT827" s="2"/>
      <c r="AU827"/>
      <c r="AV827" s="2"/>
      <c r="AW827" s="2"/>
      <c r="AX827" s="2"/>
      <c r="AY827" s="2"/>
      <c r="AZ827" s="23"/>
      <c r="BA827" s="23"/>
    </row>
    <row r="828" spans="1:55" s="11" customFormat="1" ht="13" customHeight="1">
      <c r="A828"/>
      <c r="B828"/>
      <c r="C828" s="1454" t="s">
        <v>1551</v>
      </c>
      <c r="D828" s="1455"/>
      <c r="E828" s="1455"/>
      <c r="F828" s="1455"/>
      <c r="G828" s="1455"/>
      <c r="H828" s="1455"/>
      <c r="I828" s="1087"/>
      <c r="J828" s="1087"/>
      <c r="K828" s="1087"/>
      <c r="L828" s="1102"/>
      <c r="M828" s="1531"/>
      <c r="N828" s="1531"/>
      <c r="O828" s="1531"/>
      <c r="P828" s="1531"/>
      <c r="Q828" s="1531"/>
      <c r="R828" s="1531"/>
      <c r="S828" s="1531"/>
      <c r="T828" s="1531"/>
      <c r="U828" s="1531"/>
      <c r="V828" s="1531"/>
      <c r="W828" s="1531"/>
      <c r="X828" s="1531"/>
      <c r="Y828" s="1531"/>
      <c r="Z828" s="1531"/>
      <c r="AA828" s="1531"/>
      <c r="AB828" s="1531"/>
      <c r="AC828" s="1442"/>
      <c r="AD828" s="1443"/>
      <c r="AE828" s="1443"/>
      <c r="AF828" s="1444"/>
      <c r="AG828" s="1442"/>
      <c r="AH828" s="1443"/>
      <c r="AI828" s="1443"/>
      <c r="AJ828" s="1444"/>
      <c r="AK828"/>
      <c r="AL828" s="2"/>
      <c r="AM828" s="2"/>
      <c r="AN828" s="2"/>
      <c r="AO828" s="2"/>
      <c r="AP828" s="2"/>
      <c r="AQ828" s="2"/>
      <c r="AR828" s="2"/>
      <c r="AS828" s="2"/>
      <c r="AT828" s="2"/>
      <c r="AU828"/>
      <c r="AV828" s="2"/>
      <c r="AW828" s="2"/>
      <c r="AX828" s="2"/>
      <c r="AY828" s="2"/>
      <c r="AZ828" s="23"/>
      <c r="BA828" s="23"/>
    </row>
    <row r="829" spans="1:55" s="11" customFormat="1" ht="13" customHeight="1">
      <c r="A829"/>
      <c r="B829"/>
      <c r="C829" s="1454" t="s">
        <v>1552</v>
      </c>
      <c r="D829" s="1455"/>
      <c r="E829" s="1455"/>
      <c r="F829" s="1455"/>
      <c r="G829" s="1455"/>
      <c r="H829" s="1455"/>
      <c r="I829" s="1087"/>
      <c r="J829" s="1087"/>
      <c r="K829" s="1087"/>
      <c r="L829" s="1102"/>
      <c r="M829" s="1531"/>
      <c r="N829" s="1531"/>
      <c r="O829" s="1531"/>
      <c r="P829" s="1531"/>
      <c r="Q829" s="1531">
        <v>-33</v>
      </c>
      <c r="R829" s="1531"/>
      <c r="S829" s="1531"/>
      <c r="T829" s="1531"/>
      <c r="U829" s="1531">
        <v>-24</v>
      </c>
      <c r="V829" s="1531"/>
      <c r="W829" s="1531"/>
      <c r="X829" s="1531"/>
      <c r="Y829" s="1531"/>
      <c r="Z829" s="1531"/>
      <c r="AA829" s="1531"/>
      <c r="AB829" s="1531"/>
      <c r="AC829" s="1442"/>
      <c r="AD829" s="1443"/>
      <c r="AE829" s="1443"/>
      <c r="AF829" s="1444"/>
      <c r="AG829" s="1442"/>
      <c r="AH829" s="1443"/>
      <c r="AI829" s="1443"/>
      <c r="AJ829" s="1444"/>
      <c r="AK829"/>
      <c r="AL829" s="2"/>
      <c r="AM829" s="2"/>
      <c r="AN829" s="2"/>
      <c r="AO829" s="2"/>
      <c r="AP829" s="2"/>
      <c r="AQ829" s="2"/>
      <c r="AR829" s="2"/>
      <c r="AS829" s="2"/>
      <c r="AT829" s="2"/>
      <c r="AU829"/>
      <c r="AV829" s="2"/>
      <c r="AW829" s="2"/>
      <c r="AX829" s="2"/>
      <c r="AY829" s="2"/>
      <c r="AZ829" s="23"/>
      <c r="BA829" s="23"/>
    </row>
    <row r="830" spans="1:55" s="11" customFormat="1" ht="13" customHeight="1">
      <c r="A830"/>
      <c r="B830"/>
      <c r="C830" s="1398" t="s">
        <v>1553</v>
      </c>
      <c r="D830" s="1455"/>
      <c r="E830" s="1455"/>
      <c r="F830" s="1455"/>
      <c r="G830" s="1455"/>
      <c r="H830" s="1455"/>
      <c r="I830" s="1087"/>
      <c r="J830" s="1087"/>
      <c r="K830" s="1087"/>
      <c r="L830" s="1102"/>
      <c r="M830" s="1531"/>
      <c r="N830" s="1531"/>
      <c r="O830" s="1531"/>
      <c r="P830" s="1531"/>
      <c r="Q830" s="1531"/>
      <c r="R830" s="1531"/>
      <c r="S830" s="1531"/>
      <c r="T830" s="1531"/>
      <c r="U830" s="1531"/>
      <c r="V830" s="1531"/>
      <c r="W830" s="1531"/>
      <c r="X830" s="1531"/>
      <c r="Y830" s="1531"/>
      <c r="Z830" s="1531"/>
      <c r="AA830" s="1531"/>
      <c r="AB830" s="1531"/>
      <c r="AC830" s="1442"/>
      <c r="AD830" s="1443"/>
      <c r="AE830" s="1443"/>
      <c r="AF830" s="1444"/>
      <c r="AG830" s="1442"/>
      <c r="AH830" s="1443"/>
      <c r="AI830" s="1443"/>
      <c r="AJ830" s="1444"/>
      <c r="AK830"/>
      <c r="AL830" s="2"/>
      <c r="AM830" s="2"/>
      <c r="AN830" s="2"/>
      <c r="AO830" s="2"/>
      <c r="AP830" s="2"/>
      <c r="AQ830" s="2"/>
      <c r="AR830" s="2"/>
      <c r="AS830" s="2"/>
      <c r="AT830" s="2"/>
      <c r="AU830"/>
      <c r="AV830" s="2"/>
      <c r="AW830" s="2"/>
      <c r="AX830" s="2"/>
      <c r="AY830" s="2"/>
      <c r="AZ830" s="23"/>
      <c r="BA830" s="23"/>
    </row>
    <row r="831" spans="1:55" s="11" customFormat="1" ht="13" customHeight="1">
      <c r="A831"/>
      <c r="B831"/>
      <c r="C831" s="1086" t="s">
        <v>1554</v>
      </c>
      <c r="D831" s="1087"/>
      <c r="E831" s="1087"/>
      <c r="F831" s="1560" t="s">
        <v>1555</v>
      </c>
      <c r="G831" s="1561"/>
      <c r="H831" s="1561"/>
      <c r="I831" s="1561"/>
      <c r="J831" s="1561"/>
      <c r="K831" s="1561"/>
      <c r="L831" s="1561"/>
      <c r="M831" s="1531"/>
      <c r="N831" s="1531"/>
      <c r="O831" s="1531"/>
      <c r="P831" s="1531"/>
      <c r="Q831" s="1531">
        <v>23</v>
      </c>
      <c r="R831" s="1531"/>
      <c r="S831" s="1531"/>
      <c r="T831" s="1531"/>
      <c r="U831" s="1531">
        <v>29</v>
      </c>
      <c r="V831" s="1531"/>
      <c r="W831" s="1531"/>
      <c r="X831" s="1531"/>
      <c r="Y831" s="1531"/>
      <c r="Z831" s="1531"/>
      <c r="AA831" s="1531"/>
      <c r="AB831" s="1531"/>
      <c r="AC831" s="1442"/>
      <c r="AD831" s="1443"/>
      <c r="AE831" s="1443"/>
      <c r="AF831" s="1444"/>
      <c r="AG831" s="1442"/>
      <c r="AH831" s="1443"/>
      <c r="AI831" s="1443"/>
      <c r="AJ831" s="1444"/>
      <c r="AK831"/>
      <c r="AL831" s="2"/>
      <c r="AM831" s="2"/>
      <c r="AN831" s="2"/>
      <c r="AO831" s="2"/>
      <c r="AP831" s="2"/>
      <c r="AQ831" s="2"/>
      <c r="AR831" s="2"/>
      <c r="AS831" s="2"/>
      <c r="AT831" s="2"/>
      <c r="AU831"/>
      <c r="AV831" s="2"/>
      <c r="AW831" s="2"/>
      <c r="AX831" s="2"/>
      <c r="AY831" s="2"/>
      <c r="AZ831" s="23"/>
      <c r="BA831" s="23"/>
    </row>
    <row r="832" spans="1:55" s="11" customFormat="1" ht="13" customHeight="1">
      <c r="A832"/>
      <c r="B832"/>
      <c r="C832" s="1527" t="s">
        <v>1501</v>
      </c>
      <c r="D832" s="1528"/>
      <c r="E832" s="1528"/>
      <c r="F832" s="1528"/>
      <c r="G832" s="1528"/>
      <c r="H832" s="1528"/>
      <c r="I832" s="1528"/>
      <c r="J832" s="1528"/>
      <c r="K832" s="1528"/>
      <c r="L832" s="1530"/>
      <c r="M832" s="1571">
        <f>SUM(M825:P831)</f>
        <v>0</v>
      </c>
      <c r="N832" s="1571"/>
      <c r="O832" s="1571"/>
      <c r="P832" s="1571"/>
      <c r="Q832" s="1571">
        <f>SUM(Q825:T831)</f>
        <v>85</v>
      </c>
      <c r="R832" s="1571"/>
      <c r="S832" s="1571"/>
      <c r="T832" s="1571"/>
      <c r="U832" s="1571">
        <f>SUM(U825:X831)</f>
        <v>125</v>
      </c>
      <c r="V832" s="1571"/>
      <c r="W832" s="1571"/>
      <c r="X832" s="1571"/>
      <c r="Y832" s="1571">
        <f>SUM(Y825:AB831)</f>
        <v>0</v>
      </c>
      <c r="Z832" s="1571"/>
      <c r="AA832" s="1571"/>
      <c r="AB832" s="1571"/>
      <c r="AC832" s="1571">
        <f>SUM(AC825:AF831)</f>
        <v>0</v>
      </c>
      <c r="AD832" s="1571"/>
      <c r="AE832" s="1571"/>
      <c r="AF832" s="1571"/>
      <c r="AG832" s="1571">
        <f>SUM(AG825:AJ831)</f>
        <v>0</v>
      </c>
      <c r="AH832" s="1571"/>
      <c r="AI832" s="1571"/>
      <c r="AJ832" s="1571"/>
      <c r="AK832"/>
      <c r="AL832" s="2"/>
      <c r="AM832" s="2"/>
      <c r="AN832" s="2"/>
      <c r="AO832" s="2"/>
      <c r="AP832" s="2"/>
      <c r="AQ832" s="2"/>
      <c r="AR832" s="2"/>
      <c r="AS832" s="2"/>
      <c r="AT832" s="2"/>
      <c r="AU832"/>
      <c r="AV832" s="2"/>
      <c r="AW832" s="2"/>
      <c r="AX832" s="2"/>
      <c r="AY832" s="2"/>
      <c r="AZ832" s="23"/>
      <c r="BA832" s="23"/>
    </row>
    <row r="833" spans="1:64" s="11" customFormat="1" ht="13" customHeight="1">
      <c r="A833"/>
      <c r="B833"/>
      <c r="C833" s="38" t="s">
        <v>1556</v>
      </c>
      <c r="D833" s="37"/>
      <c r="E833" s="37"/>
      <c r="F833" s="37"/>
      <c r="G833" s="37"/>
      <c r="H833" s="37"/>
      <c r="I833" s="37"/>
      <c r="J833" s="37"/>
      <c r="K833" s="37"/>
      <c r="L833" s="37"/>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c r="AL833" s="2"/>
      <c r="AM833" s="2"/>
      <c r="AN833" s="2"/>
      <c r="AO833" s="2"/>
      <c r="AP833" s="2"/>
      <c r="AQ833" s="2"/>
      <c r="AR833" s="2"/>
      <c r="AS833" s="2"/>
      <c r="AT833" s="2"/>
      <c r="AU833"/>
      <c r="AV833" s="2"/>
      <c r="AW833" s="2"/>
      <c r="AX833" s="2"/>
      <c r="AY833" s="2"/>
      <c r="AZ833" s="23"/>
      <c r="BA833" s="23"/>
    </row>
    <row r="834" spans="1:64" s="11" customFormat="1" ht="13" customHeight="1">
      <c r="A834"/>
      <c r="B834"/>
      <c r="C834" s="38" t="s">
        <v>1557</v>
      </c>
      <c r="D834" s="37"/>
      <c r="E834" s="37"/>
      <c r="F834" s="37"/>
      <c r="G834" s="37"/>
      <c r="H834" s="37"/>
      <c r="I834" s="37"/>
      <c r="J834" s="37"/>
      <c r="K834" s="37"/>
      <c r="L834" s="37"/>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c r="AL834" s="2"/>
      <c r="AM834" s="2"/>
      <c r="AN834" s="2"/>
      <c r="AO834" s="2"/>
      <c r="AP834" s="2"/>
      <c r="AQ834" s="2"/>
      <c r="AR834" s="2"/>
      <c r="AS834" s="2"/>
      <c r="AT834" s="2"/>
      <c r="AU834"/>
      <c r="AV834"/>
      <c r="AW834"/>
      <c r="AX834"/>
      <c r="AY834"/>
      <c r="AZ834" s="23"/>
      <c r="BA834" s="23"/>
    </row>
    <row r="835" spans="1:64" s="11" customFormat="1" ht="13" customHeight="1">
      <c r="A835"/>
      <c r="B835"/>
      <c r="C835" s="37"/>
      <c r="D835" s="37"/>
      <c r="E835" s="37"/>
      <c r="F835" s="37"/>
      <c r="G835" s="37"/>
      <c r="H835" s="37"/>
      <c r="I835" s="37"/>
      <c r="J835" s="37"/>
      <c r="K835" s="37"/>
      <c r="L835" s="37"/>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c r="AL835" s="2"/>
      <c r="AM835" s="2"/>
      <c r="AN835" s="2"/>
      <c r="AO835" s="2"/>
      <c r="AP835" s="2"/>
      <c r="AQ835" s="2"/>
      <c r="AR835" s="2"/>
      <c r="AS835" s="2"/>
      <c r="AT835" s="2"/>
      <c r="AU835"/>
      <c r="AV835"/>
      <c r="AW835"/>
      <c r="AX835"/>
      <c r="AY835"/>
      <c r="AZ835" s="23"/>
      <c r="BA835" s="23"/>
    </row>
    <row r="836" spans="1:64" s="11" customFormat="1" ht="13" customHeight="1">
      <c r="A836"/>
      <c r="B836"/>
      <c r="C836" s="1" t="s">
        <v>1558</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3" customHeight="1">
      <c r="A837"/>
      <c r="B837"/>
      <c r="C837" s="1568" t="s">
        <v>1559</v>
      </c>
      <c r="D837" s="1569"/>
      <c r="E837" s="1569"/>
      <c r="F837" s="1569"/>
      <c r="G837" s="1569"/>
      <c r="H837" s="1569"/>
      <c r="I837" s="1569"/>
      <c r="J837" s="1569"/>
      <c r="K837" s="1569"/>
      <c r="L837" s="1569"/>
      <c r="M837" s="1569"/>
      <c r="N837" s="1569"/>
      <c r="O837" s="1569"/>
      <c r="P837" s="1569"/>
      <c r="Q837" s="1569"/>
      <c r="R837" s="1569"/>
      <c r="S837" s="1569"/>
      <c r="T837" s="1569"/>
      <c r="U837" s="1569"/>
      <c r="V837" s="1569"/>
      <c r="W837" s="1569"/>
      <c r="X837" s="1569"/>
      <c r="Y837" s="1569"/>
      <c r="Z837" s="1569"/>
      <c r="AA837" s="1569"/>
      <c r="AB837" s="1569"/>
      <c r="AC837" s="1569"/>
      <c r="AD837" s="1569"/>
      <c r="AE837" s="1569"/>
      <c r="AF837" s="1569"/>
      <c r="AG837" s="1569"/>
      <c r="AH837" s="1569"/>
      <c r="AI837" s="1569"/>
      <c r="AJ837" s="1570"/>
      <c r="AK837"/>
      <c r="AL837" s="2"/>
      <c r="AM837" s="2"/>
      <c r="AN837" s="2"/>
      <c r="AO837" s="2"/>
      <c r="AP837" s="2"/>
      <c r="AQ837" s="2"/>
      <c r="AR837" s="2"/>
      <c r="AS837" s="2"/>
      <c r="AT837" s="2"/>
      <c r="AU837"/>
      <c r="AV837"/>
      <c r="AW837"/>
      <c r="AX837"/>
      <c r="AY837"/>
      <c r="AZ837" s="23"/>
      <c r="BA837" s="23"/>
    </row>
    <row r="838" spans="1:64" s="11" customFormat="1" ht="13" customHeight="1">
      <c r="A838"/>
      <c r="B838" s="2"/>
      <c r="C838" s="2" t="s">
        <v>1560</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3" customHeight="1">
      <c r="A840" s="1" t="s">
        <v>1110</v>
      </c>
      <c r="B840"/>
      <c r="C840" s="1" t="s">
        <v>1561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53"/>
      <c r="BJ841" s="1553"/>
      <c r="BK841" s="1553"/>
      <c r="BL841" s="1553"/>
    </row>
    <row r="842" spans="1:64" s="11" customFormat="1" ht="13" customHeight="1">
      <c r="A842"/>
      <c r="B842"/>
      <c r="C842" s="1" t="s">
        <v>1562</v>
      </c>
      <c r="D842"/>
      <c r="E842"/>
      <c r="F842"/>
      <c r="G842"/>
      <c r="H842"/>
      <c r="I842"/>
      <c r="J842" s="1083" t="s">
        <v>1563</v>
      </c>
      <c r="K842" s="4"/>
      <c r="L842" s="4"/>
      <c r="M842" s="4"/>
      <c r="N842" s="4"/>
      <c r="O842" s="4"/>
      <c r="P842" s="4"/>
      <c r="Q842" s="4"/>
      <c r="R842" s="4"/>
      <c r="S842" s="4"/>
      <c r="T842" s="4"/>
      <c r="U842" s="4"/>
      <c r="V842" s="1084"/>
      <c r="W842" s="1559">
        <v>8858</v>
      </c>
      <c r="X842" s="1559"/>
      <c r="Y842" s="1559"/>
      <c r="Z842" s="1559"/>
      <c r="AA842" s="1559"/>
      <c r="AB842" s="1559"/>
      <c r="AC842" s="1559"/>
      <c r="AD842"/>
      <c r="AE842"/>
      <c r="AF842"/>
      <c r="AG842"/>
      <c r="AH842"/>
      <c r="AI842"/>
      <c r="AJ842"/>
      <c r="AK842"/>
      <c r="AL842"/>
      <c r="AM842"/>
      <c r="AN842"/>
      <c r="AO842"/>
      <c r="AP842"/>
      <c r="AQ842"/>
      <c r="AR842"/>
      <c r="AS842"/>
      <c r="AT842"/>
      <c r="AU842"/>
      <c r="AV842"/>
      <c r="AW842"/>
      <c r="AX842"/>
      <c r="AY842"/>
      <c r="AZ842" s="23"/>
      <c r="BA842" s="23"/>
    </row>
    <row r="843" spans="1:64" s="11" customFormat="1" ht="13" customHeight="1">
      <c r="A843"/>
      <c r="B843"/>
      <c r="C843"/>
      <c r="D843"/>
      <c r="E843"/>
      <c r="F843"/>
      <c r="G843"/>
      <c r="H843"/>
      <c r="I843"/>
      <c r="J843" s="1083" t="s">
        <v>1564</v>
      </c>
      <c r="K843" s="4"/>
      <c r="L843" s="4"/>
      <c r="M843" s="4"/>
      <c r="N843" s="4"/>
      <c r="O843" s="4"/>
      <c r="P843" s="4"/>
      <c r="Q843" s="4"/>
      <c r="R843" s="4"/>
      <c r="S843" s="4"/>
      <c r="T843" s="4"/>
      <c r="U843" s="4"/>
      <c r="V843" s="1084"/>
      <c r="W843" s="1559">
        <v>9167</v>
      </c>
      <c r="X843" s="1559"/>
      <c r="Y843" s="1559"/>
      <c r="Z843" s="1559"/>
      <c r="AA843" s="1559"/>
      <c r="AB843" s="1559"/>
      <c r="AC843" s="1559"/>
      <c r="AD843"/>
      <c r="AE843"/>
      <c r="AF843"/>
      <c r="AG843"/>
      <c r="AH843"/>
      <c r="AI843"/>
      <c r="AJ843"/>
      <c r="AK843"/>
      <c r="AL843"/>
      <c r="AM843"/>
      <c r="AN843"/>
      <c r="AO843"/>
      <c r="AP843"/>
      <c r="AQ843"/>
      <c r="AR843"/>
      <c r="AS843"/>
      <c r="AT843"/>
      <c r="AU843"/>
      <c r="AV843"/>
      <c r="AW843"/>
      <c r="AX843"/>
      <c r="AY843"/>
      <c r="AZ843" s="23"/>
      <c r="BA843" s="23"/>
    </row>
    <row r="844" spans="1:64" ht="13" customHeight="1">
      <c r="J844" s="1083" t="s">
        <v>1565</v>
      </c>
      <c r="K844" s="4"/>
      <c r="L844" s="4"/>
      <c r="M844" s="4"/>
      <c r="N844" s="4"/>
      <c r="O844" s="4"/>
      <c r="P844" s="4"/>
      <c r="Q844" s="4"/>
      <c r="R844" s="4"/>
      <c r="S844" s="4"/>
      <c r="T844" s="4"/>
      <c r="U844" s="4"/>
      <c r="V844" s="1084"/>
      <c r="W844" s="1559">
        <v>20600</v>
      </c>
      <c r="X844" s="1559"/>
      <c r="Y844" s="1559"/>
      <c r="Z844" s="1559"/>
      <c r="AA844" s="1559"/>
      <c r="AB844" s="1559"/>
      <c r="AC844" s="1559"/>
      <c r="AZ844" s="23"/>
      <c r="BA844" s="23"/>
      <c r="BB844" s="11"/>
      <c r="BC844" s="11"/>
      <c r="BD844" s="11"/>
      <c r="BE844" s="11"/>
      <c r="BF844" s="11"/>
      <c r="BG844" s="11"/>
      <c r="BH844" s="11"/>
      <c r="BI844" s="11"/>
      <c r="BJ844" s="11"/>
      <c r="BK844" s="11"/>
      <c r="BL844" s="11"/>
    </row>
    <row r="845" spans="1:64" ht="13" customHeight="1">
      <c r="J845" s="1083" t="s">
        <v>1566</v>
      </c>
      <c r="K845" s="4"/>
      <c r="L845" s="4"/>
      <c r="M845" s="4"/>
      <c r="N845" s="4"/>
      <c r="O845" s="4"/>
      <c r="P845" s="4"/>
      <c r="Q845" s="4"/>
      <c r="R845" s="4"/>
      <c r="S845" s="4"/>
      <c r="T845" s="4"/>
      <c r="U845" s="4"/>
      <c r="V845" s="1084"/>
      <c r="W845" s="1559">
        <v>8549</v>
      </c>
      <c r="X845" s="1559"/>
      <c r="Y845" s="1559"/>
      <c r="Z845" s="1559"/>
      <c r="AA845" s="1559"/>
      <c r="AB845" s="1559"/>
      <c r="AC845" s="1559"/>
      <c r="AZ845" s="23"/>
      <c r="BA845" s="23"/>
      <c r="BB845" s="11"/>
      <c r="BC845" s="11"/>
      <c r="BD845" s="11"/>
      <c r="BE845" s="11"/>
      <c r="BF845" s="11"/>
      <c r="BG845" s="11"/>
      <c r="BH845" s="11"/>
      <c r="BI845" s="11"/>
      <c r="BJ845" s="11"/>
      <c r="BK845" s="11"/>
      <c r="BL845" s="11"/>
    </row>
    <row r="846" spans="1:64" ht="13" customHeight="1">
      <c r="J846" s="1083" t="s">
        <v>233</v>
      </c>
      <c r="K846" s="4"/>
      <c r="L846" s="4"/>
      <c r="M846" s="1560" t="s">
        <v>1567</v>
      </c>
      <c r="N846" s="1561"/>
      <c r="O846" s="1561"/>
      <c r="P846" s="1561"/>
      <c r="Q846" s="1561"/>
      <c r="R846" s="1561"/>
      <c r="S846" s="1561"/>
      <c r="T846" s="1561"/>
      <c r="U846" s="1561"/>
      <c r="V846" s="1562"/>
      <c r="W846" s="1559">
        <v>29849</v>
      </c>
      <c r="X846" s="1559"/>
      <c r="Y846" s="1559"/>
      <c r="Z846" s="1559"/>
      <c r="AA846" s="1559"/>
      <c r="AB846" s="1559"/>
      <c r="AC846" s="1559"/>
      <c r="AZ846" s="23"/>
      <c r="BA846" s="23"/>
      <c r="BB846" s="11"/>
      <c r="BC846" s="11"/>
      <c r="BD846" s="11"/>
      <c r="BE846" s="11"/>
      <c r="BF846" s="11"/>
      <c r="BG846" s="11"/>
      <c r="BH846" s="11"/>
      <c r="BI846" s="11"/>
      <c r="BJ846" s="11"/>
      <c r="BK846" s="11"/>
      <c r="BL846" s="11"/>
    </row>
    <row r="847" spans="1:64" ht="13" customHeight="1">
      <c r="J847" s="1083"/>
      <c r="K847" s="4"/>
      <c r="L847" s="4"/>
      <c r="M847" s="4"/>
      <c r="N847" s="4"/>
      <c r="O847" s="4"/>
      <c r="P847" s="4"/>
      <c r="Q847" s="4"/>
      <c r="R847" s="4"/>
      <c r="S847" s="4"/>
      <c r="T847" s="4"/>
      <c r="U847" s="4"/>
      <c r="V847" s="1075" t="s">
        <v>1568</v>
      </c>
      <c r="W847" s="1407">
        <f>SUM(W842:AC846)</f>
        <v>77023</v>
      </c>
      <c r="X847" s="1408"/>
      <c r="Y847" s="1408"/>
      <c r="Z847" s="1408"/>
      <c r="AA847" s="1408"/>
      <c r="AB847" s="1408"/>
      <c r="AC847" s="1409"/>
      <c r="AZ847" s="23"/>
      <c r="BA847" s="23"/>
      <c r="BB847" s="11"/>
      <c r="BC847" s="11"/>
      <c r="BD847" s="11"/>
      <c r="BE847" s="11"/>
      <c r="BF847" s="11"/>
      <c r="BG847" s="11"/>
      <c r="BH847" s="11"/>
      <c r="BI847" s="11"/>
      <c r="BJ847" s="11"/>
      <c r="BK847" s="11"/>
      <c r="BL847" s="11"/>
    </row>
    <row r="848" spans="1:64" ht="13" customHeight="1">
      <c r="AZ848" s="23"/>
      <c r="BA848" s="23"/>
      <c r="BB848" s="11"/>
      <c r="BC848" s="11"/>
      <c r="BD848" s="11"/>
      <c r="BE848" s="11"/>
      <c r="BF848" s="11"/>
      <c r="BG848" s="1552"/>
      <c r="BH848" s="1552"/>
      <c r="BI848" s="1552"/>
      <c r="BJ848" s="1552"/>
      <c r="BK848" s="1552"/>
      <c r="BL848" s="1552"/>
    </row>
    <row r="849" spans="3:55" ht="13" customHeight="1">
      <c r="C849" s="1" t="s">
        <v>1569</v>
      </c>
      <c r="J849" s="1527" t="s">
        <v>1570</v>
      </c>
      <c r="K849" s="1528"/>
      <c r="L849" s="1528"/>
      <c r="M849" s="1528"/>
      <c r="N849" s="1528"/>
      <c r="O849" s="1528"/>
      <c r="P849" s="1528"/>
      <c r="Q849" s="1528"/>
      <c r="R849" s="1528"/>
      <c r="S849" s="1528"/>
      <c r="T849" s="1528"/>
      <c r="U849" s="1528"/>
      <c r="V849" s="1530"/>
      <c r="W849" s="1410">
        <v>68256</v>
      </c>
      <c r="X849" s="1295"/>
      <c r="Y849" s="1295"/>
      <c r="Z849" s="1295"/>
      <c r="AA849" s="1295"/>
      <c r="AB849" s="1295"/>
      <c r="AC849" s="1296"/>
      <c r="AD849" s="382"/>
      <c r="AZ849" s="23"/>
      <c r="BA849" s="23"/>
      <c r="BB849" s="11"/>
      <c r="BC849" s="11"/>
    </row>
    <row r="850" spans="3:55" ht="13" customHeight="1">
      <c r="AD850" s="382"/>
      <c r="AZ850" s="23"/>
      <c r="BA850" s="23"/>
      <c r="BB850" s="11"/>
      <c r="BC850" s="11"/>
    </row>
    <row r="851" spans="3:55" ht="13" customHeight="1">
      <c r="C851" s="1" t="s">
        <v>230</v>
      </c>
      <c r="J851" s="1083" t="s">
        <v>1571</v>
      </c>
      <c r="K851" s="4"/>
      <c r="L851" s="4"/>
      <c r="M851" s="4"/>
      <c r="N851" s="4"/>
      <c r="O851" s="4"/>
      <c r="P851" s="4"/>
      <c r="Q851" s="4"/>
      <c r="R851" s="4"/>
      <c r="S851" s="4"/>
      <c r="T851" s="4"/>
      <c r="U851" s="4"/>
      <c r="V851" s="1084"/>
      <c r="W851" s="1566"/>
      <c r="X851" s="1566"/>
      <c r="Y851" s="1566"/>
      <c r="Z851" s="1566"/>
      <c r="AA851" s="1566"/>
      <c r="AB851" s="1566"/>
      <c r="AC851" s="1566"/>
      <c r="AZ851" s="1555"/>
      <c r="BA851" s="1555"/>
      <c r="BB851" s="11"/>
      <c r="BC851" s="11"/>
    </row>
    <row r="852" spans="3:55" ht="13" customHeight="1">
      <c r="J852" s="1083" t="s">
        <v>1572</v>
      </c>
      <c r="K852" s="4"/>
      <c r="L852" s="4"/>
      <c r="M852" s="4"/>
      <c r="N852" s="4"/>
      <c r="O852" s="4"/>
      <c r="P852" s="4"/>
      <c r="Q852" s="4"/>
      <c r="R852" s="4"/>
      <c r="S852" s="4"/>
      <c r="T852" s="4"/>
      <c r="U852" s="4"/>
      <c r="V852" s="1084"/>
      <c r="W852" s="1566">
        <v>18966</v>
      </c>
      <c r="X852" s="1566"/>
      <c r="Y852" s="1566"/>
      <c r="Z852" s="1566"/>
      <c r="AA852" s="1566"/>
      <c r="AB852" s="1566"/>
      <c r="AC852" s="1566"/>
      <c r="AZ852" s="23"/>
      <c r="BA852" s="23"/>
      <c r="BB852" s="11"/>
      <c r="BC852" s="11"/>
    </row>
    <row r="853" spans="3:55" ht="13" customHeight="1">
      <c r="J853" s="1083" t="s">
        <v>1552</v>
      </c>
      <c r="K853" s="4"/>
      <c r="L853" s="4"/>
      <c r="M853" s="4"/>
      <c r="N853" s="4"/>
      <c r="O853" s="4"/>
      <c r="P853" s="4"/>
      <c r="Q853" s="4"/>
      <c r="R853" s="4"/>
      <c r="S853" s="4"/>
      <c r="T853" s="4"/>
      <c r="U853" s="4"/>
      <c r="V853" s="1084"/>
      <c r="W853" s="1566">
        <v>15141</v>
      </c>
      <c r="X853" s="1566"/>
      <c r="Y853" s="1566"/>
      <c r="Z853" s="1566"/>
      <c r="AA853" s="1566"/>
      <c r="AB853" s="1566"/>
      <c r="AC853" s="1566"/>
      <c r="AZ853" s="23"/>
      <c r="BA853" s="23"/>
      <c r="BB853" s="11"/>
      <c r="BC853" s="11"/>
    </row>
    <row r="854" spans="3:55" ht="13" customHeight="1">
      <c r="J854" s="1169" t="s">
        <v>1573</v>
      </c>
      <c r="K854" s="4"/>
      <c r="L854" s="4"/>
      <c r="M854" s="4"/>
      <c r="N854" s="4"/>
      <c r="O854" s="4"/>
      <c r="P854" s="4"/>
      <c r="Q854" s="4"/>
      <c r="R854" s="4"/>
      <c r="S854" s="4"/>
      <c r="T854" s="4"/>
      <c r="U854" s="4"/>
      <c r="V854" s="1084"/>
      <c r="W854" s="1566">
        <v>34417</v>
      </c>
      <c r="X854" s="1566"/>
      <c r="Y854" s="1566"/>
      <c r="Z854" s="1566"/>
      <c r="AA854" s="1566"/>
      <c r="AB854" s="1566"/>
      <c r="AC854" s="1566"/>
      <c r="AZ854" s="2"/>
      <c r="BA854" s="2"/>
      <c r="BB854" s="2"/>
      <c r="BC854" s="2"/>
    </row>
    <row r="855" spans="3:55" ht="13" customHeight="1">
      <c r="J855" s="40"/>
      <c r="K855" s="32"/>
      <c r="L855" s="32"/>
      <c r="M855" s="32"/>
      <c r="N855" s="32"/>
      <c r="O855" s="32"/>
      <c r="P855" s="32"/>
      <c r="Q855" s="32"/>
      <c r="R855" s="32"/>
      <c r="S855" s="32"/>
      <c r="T855" s="32"/>
      <c r="U855" s="32"/>
      <c r="V855" s="1075" t="s">
        <v>1574</v>
      </c>
      <c r="W855" s="1567">
        <f>SUM(W851:AC854)</f>
        <v>68524</v>
      </c>
      <c r="X855" s="1567"/>
      <c r="Y855" s="1567"/>
      <c r="Z855" s="1567"/>
      <c r="AA855" s="1567"/>
      <c r="AB855" s="1567"/>
      <c r="AC855" s="1567"/>
      <c r="AZ855" s="2"/>
      <c r="BA855" s="2"/>
      <c r="BB855" s="2"/>
      <c r="BC855" s="2"/>
    </row>
    <row r="856" spans="3:55" ht="13" customHeight="1">
      <c r="AZ856" s="2"/>
      <c r="BA856" s="2"/>
      <c r="BB856" s="2"/>
      <c r="BC856" s="2"/>
    </row>
    <row r="857" spans="3:55" ht="13" customHeight="1">
      <c r="C857" s="1" t="s">
        <v>1575</v>
      </c>
      <c r="J857" s="1083" t="s">
        <v>1576</v>
      </c>
      <c r="K857" s="4"/>
      <c r="L857" s="4"/>
      <c r="M857" s="4"/>
      <c r="N857" s="4"/>
      <c r="O857" s="4"/>
      <c r="P857" s="4"/>
      <c r="Q857" s="4"/>
      <c r="R857" s="4"/>
      <c r="S857" s="4"/>
      <c r="T857" s="4"/>
      <c r="U857" s="4"/>
      <c r="V857" s="1084"/>
      <c r="W857" s="1563">
        <v>53745</v>
      </c>
      <c r="X857" s="1564"/>
      <c r="Y857" s="1564"/>
      <c r="Z857" s="1564"/>
      <c r="AA857" s="1564"/>
      <c r="AB857" s="1564"/>
      <c r="AC857" s="1565"/>
      <c r="AD857" s="377"/>
      <c r="AZ857" s="2"/>
      <c r="BA857" s="2"/>
      <c r="BB857" s="2"/>
      <c r="BC857" s="2"/>
    </row>
    <row r="858" spans="3:55" ht="13" customHeight="1">
      <c r="C858" s="1" t="s">
        <v>1577</v>
      </c>
      <c r="J858" s="1090" t="s">
        <v>1578</v>
      </c>
      <c r="K858" s="4"/>
      <c r="L858" s="4"/>
      <c r="M858" s="4"/>
      <c r="N858" s="4"/>
      <c r="O858" s="4"/>
      <c r="P858" s="4"/>
      <c r="Q858" s="4"/>
      <c r="R858" s="4"/>
      <c r="S858" s="4"/>
      <c r="T858" s="1572">
        <v>2</v>
      </c>
      <c r="U858" s="1573"/>
      <c r="V858" s="1574"/>
      <c r="W858" s="1098"/>
      <c r="X858" s="1099"/>
      <c r="Y858" s="1099"/>
      <c r="Z858" s="1099"/>
      <c r="AA858" s="1099"/>
      <c r="AB858" s="1099"/>
      <c r="AC858" s="1100"/>
      <c r="AD858" s="377"/>
      <c r="AZ858" s="2"/>
      <c r="BA858" s="2"/>
      <c r="BB858" s="2"/>
      <c r="BC858" s="2"/>
    </row>
    <row r="859" spans="3:55" ht="13" customHeight="1">
      <c r="C859" s="1"/>
      <c r="J859" s="1083" t="s">
        <v>1579</v>
      </c>
      <c r="K859" s="4"/>
      <c r="L859" s="4"/>
      <c r="M859" s="4"/>
      <c r="N859" s="4"/>
      <c r="O859" s="4"/>
      <c r="P859" s="4"/>
      <c r="Q859" s="4"/>
      <c r="R859" s="4"/>
      <c r="S859" s="4"/>
      <c r="T859" s="4"/>
      <c r="U859" s="4"/>
      <c r="V859" s="1084"/>
      <c r="W859" s="1563">
        <v>52942</v>
      </c>
      <c r="X859" s="1564"/>
      <c r="Y859" s="1564"/>
      <c r="Z859" s="1564"/>
      <c r="AA859" s="1564"/>
      <c r="AB859" s="1564"/>
      <c r="AC859" s="1565"/>
      <c r="AD859" s="382"/>
      <c r="AZ859" s="2"/>
      <c r="BA859" s="2"/>
      <c r="BB859" s="2"/>
      <c r="BC859" s="2"/>
    </row>
    <row r="860" spans="3:55" ht="13" customHeight="1">
      <c r="C860" s="1"/>
      <c r="J860" s="1090" t="s">
        <v>1580</v>
      </c>
      <c r="K860" s="4"/>
      <c r="L860" s="4"/>
      <c r="M860" s="4"/>
      <c r="N860" s="4"/>
      <c r="O860" s="4"/>
      <c r="P860" s="4"/>
      <c r="Q860" s="4"/>
      <c r="R860" s="4"/>
      <c r="S860" s="4"/>
      <c r="T860" s="1572">
        <v>1</v>
      </c>
      <c r="U860" s="1573"/>
      <c r="V860" s="1574"/>
      <c r="W860" s="1098"/>
      <c r="X860" s="1099"/>
      <c r="Y860" s="1099"/>
      <c r="Z860" s="1099"/>
      <c r="AA860" s="1099"/>
      <c r="AB860" s="1099"/>
      <c r="AC860" s="1100"/>
      <c r="AD860" s="382"/>
      <c r="AZ860" s="2"/>
      <c r="BA860" s="2"/>
      <c r="BB860" s="2"/>
      <c r="BC860" s="2"/>
    </row>
    <row r="861" spans="3:55" ht="13" customHeight="1">
      <c r="J861" s="1083" t="s">
        <v>233</v>
      </c>
      <c r="K861" s="4"/>
      <c r="L861" s="4"/>
      <c r="M861" s="1560" t="s">
        <v>1581</v>
      </c>
      <c r="N861" s="1561"/>
      <c r="O861" s="1561"/>
      <c r="P861" s="1561"/>
      <c r="Q861" s="1561"/>
      <c r="R861" s="1561"/>
      <c r="S861" s="1561"/>
      <c r="T861" s="1561"/>
      <c r="U861" s="1561"/>
      <c r="V861" s="1562"/>
      <c r="W861" s="1563">
        <v>40067</v>
      </c>
      <c r="X861" s="1564"/>
      <c r="Y861" s="1564"/>
      <c r="Z861" s="1564"/>
      <c r="AA861" s="1564"/>
      <c r="AB861" s="1564"/>
      <c r="AC861" s="1565"/>
      <c r="AD861" s="377"/>
      <c r="AU861" s="11"/>
      <c r="AZ861" s="2"/>
      <c r="BA861" s="2"/>
      <c r="BB861" s="2"/>
      <c r="BC861" s="2"/>
    </row>
    <row r="862" spans="3:55" ht="13" customHeight="1">
      <c r="J862" s="1083"/>
      <c r="K862" s="4"/>
      <c r="L862" s="4"/>
      <c r="M862" s="4"/>
      <c r="N862" s="4"/>
      <c r="O862" s="4"/>
      <c r="P862" s="4"/>
      <c r="Q862" s="4"/>
      <c r="R862" s="4"/>
      <c r="S862" s="4"/>
      <c r="T862" s="4"/>
      <c r="U862" s="4"/>
      <c r="V862" s="1075" t="s">
        <v>1582</v>
      </c>
      <c r="W862" s="1575">
        <f>SUM(W857:AC861)</f>
        <v>146754</v>
      </c>
      <c r="X862" s="1576"/>
      <c r="Y862" s="1576"/>
      <c r="Z862" s="1576"/>
      <c r="AA862" s="1576"/>
      <c r="AB862" s="1576"/>
      <c r="AC862" s="1577"/>
      <c r="AD862" s="382"/>
      <c r="AU862" s="11"/>
      <c r="AZ862" s="2"/>
      <c r="BA862" s="2"/>
      <c r="BB862" s="2"/>
      <c r="BC862" s="2"/>
    </row>
    <row r="863" spans="3:55" ht="13" customHeight="1">
      <c r="J863" s="1083"/>
      <c r="K863" s="4"/>
      <c r="L863" s="4"/>
      <c r="M863" s="4"/>
      <c r="N863" s="4"/>
      <c r="O863" s="4"/>
      <c r="P863" s="4"/>
      <c r="Q863" s="4"/>
      <c r="R863" s="4"/>
      <c r="S863" s="4"/>
      <c r="T863" s="4"/>
      <c r="U863" s="4"/>
      <c r="V863" s="1075" t="s">
        <v>1583</v>
      </c>
      <c r="W863" s="1563">
        <v>25824</v>
      </c>
      <c r="X863" s="1564"/>
      <c r="Y863" s="1564"/>
      <c r="Z863" s="1564"/>
      <c r="AA863" s="1564"/>
      <c r="AB863" s="1564"/>
      <c r="AC863" s="1565"/>
      <c r="AU863" s="11"/>
      <c r="AZ863" s="2"/>
      <c r="BA863" s="2"/>
      <c r="BB863" s="2"/>
      <c r="BC863" s="2"/>
    </row>
    <row r="864" spans="3:55" ht="13" customHeight="1">
      <c r="J864" s="363"/>
      <c r="AU864" s="11"/>
      <c r="AZ864" s="2"/>
      <c r="BA864" s="2"/>
      <c r="BB864" s="2"/>
      <c r="BC864" s="2"/>
    </row>
    <row r="865" spans="3:55" ht="13" customHeight="1">
      <c r="C865" s="1" t="s">
        <v>232</v>
      </c>
      <c r="J865" s="1083" t="s">
        <v>1584</v>
      </c>
      <c r="K865" s="4"/>
      <c r="L865" s="4"/>
      <c r="M865" s="4"/>
      <c r="N865" s="4"/>
      <c r="O865" s="4"/>
      <c r="P865" s="4"/>
      <c r="Q865" s="4"/>
      <c r="R865" s="4"/>
      <c r="S865" s="4"/>
      <c r="T865" s="4"/>
      <c r="U865" s="4"/>
      <c r="V865" s="1084"/>
      <c r="W865" s="1559">
        <v>6695</v>
      </c>
      <c r="X865" s="1559"/>
      <c r="Y865" s="1559"/>
      <c r="Z865" s="1559"/>
      <c r="AA865" s="1559"/>
      <c r="AB865" s="1559"/>
      <c r="AC865" s="1559"/>
      <c r="AU865" s="11"/>
      <c r="AZ865" s="2"/>
      <c r="BA865" s="2"/>
      <c r="BB865" s="2"/>
      <c r="BC865" s="2"/>
    </row>
    <row r="866" spans="3:55" ht="13" customHeight="1">
      <c r="J866" s="1083" t="s">
        <v>1585</v>
      </c>
      <c r="K866" s="4"/>
      <c r="L866" s="4"/>
      <c r="M866" s="4"/>
      <c r="N866" s="4"/>
      <c r="O866" s="4"/>
      <c r="P866" s="4"/>
      <c r="Q866" s="4"/>
      <c r="R866" s="4"/>
      <c r="S866" s="4"/>
      <c r="T866" s="4"/>
      <c r="U866" s="4"/>
      <c r="V866" s="1084"/>
      <c r="W866" s="1559">
        <v>18220</v>
      </c>
      <c r="X866" s="1559"/>
      <c r="Y866" s="1559"/>
      <c r="Z866" s="1559"/>
      <c r="AA866" s="1559"/>
      <c r="AB866" s="1559"/>
      <c r="AC866" s="1559"/>
      <c r="AU866" s="2"/>
      <c r="AZ866" s="2"/>
      <c r="BA866" s="2"/>
      <c r="BB866" s="2"/>
      <c r="BC866" s="2"/>
    </row>
    <row r="867" spans="3:55" ht="13" customHeight="1">
      <c r="J867" s="1083" t="s">
        <v>1586</v>
      </c>
      <c r="K867" s="4"/>
      <c r="L867" s="4"/>
      <c r="M867" s="4"/>
      <c r="N867" s="4"/>
      <c r="O867" s="4"/>
      <c r="P867" s="4"/>
      <c r="Q867" s="4"/>
      <c r="R867" s="4"/>
      <c r="S867" s="4"/>
      <c r="T867" s="4"/>
      <c r="U867" s="4"/>
      <c r="V867" s="1084"/>
      <c r="W867" s="1559">
        <v>20497</v>
      </c>
      <c r="X867" s="1559"/>
      <c r="Y867" s="1559"/>
      <c r="Z867" s="1559"/>
      <c r="AA867" s="1559"/>
      <c r="AB867" s="1559"/>
      <c r="AC867" s="1559"/>
      <c r="AU867" s="2"/>
      <c r="AZ867" s="2"/>
      <c r="BA867" s="2"/>
      <c r="BB867" s="2"/>
      <c r="BC867" s="2"/>
    </row>
    <row r="868" spans="3:55" ht="13" customHeight="1">
      <c r="J868" s="1083" t="s">
        <v>1587</v>
      </c>
      <c r="K868" s="4"/>
      <c r="L868" s="4"/>
      <c r="M868" s="4"/>
      <c r="N868" s="4"/>
      <c r="O868" s="4"/>
      <c r="P868" s="4"/>
      <c r="Q868" s="4"/>
      <c r="R868" s="4"/>
      <c r="S868" s="4"/>
      <c r="T868" s="4"/>
      <c r="U868" s="4"/>
      <c r="V868" s="1084"/>
      <c r="W868" s="1559"/>
      <c r="X868" s="1559"/>
      <c r="Y868" s="1559"/>
      <c r="Z868" s="1559"/>
      <c r="AA868" s="1559"/>
      <c r="AB868" s="1559"/>
      <c r="AC868" s="1559"/>
      <c r="AU868" s="2"/>
      <c r="AZ868" s="2"/>
      <c r="BA868" s="2"/>
      <c r="BB868" s="2"/>
      <c r="BC868" s="2"/>
    </row>
    <row r="869" spans="3:55" ht="13" customHeight="1">
      <c r="J869" s="1083" t="s">
        <v>1588</v>
      </c>
      <c r="K869" s="4"/>
      <c r="L869" s="4"/>
      <c r="M869" s="4"/>
      <c r="N869" s="4"/>
      <c r="O869" s="4"/>
      <c r="P869" s="4"/>
      <c r="Q869" s="4"/>
      <c r="R869" s="4"/>
      <c r="S869" s="4"/>
      <c r="T869" s="4"/>
      <c r="U869" s="4"/>
      <c r="V869" s="1084"/>
      <c r="W869" s="1559"/>
      <c r="X869" s="1559"/>
      <c r="Y869" s="1559"/>
      <c r="Z869" s="1559"/>
      <c r="AA869" s="1559"/>
      <c r="AB869" s="1559"/>
      <c r="AC869" s="1559"/>
      <c r="AU869" s="2"/>
      <c r="AZ869" s="2"/>
      <c r="BA869" s="2"/>
      <c r="BB869" s="2"/>
      <c r="BC869" s="2"/>
    </row>
    <row r="870" spans="3:55" ht="13" customHeight="1">
      <c r="J870" s="1083" t="s">
        <v>1589</v>
      </c>
      <c r="K870" s="4"/>
      <c r="L870" s="4"/>
      <c r="M870" s="4"/>
      <c r="N870" s="4"/>
      <c r="O870" s="4"/>
      <c r="P870" s="4"/>
      <c r="Q870" s="4"/>
      <c r="R870" s="4"/>
      <c r="S870" s="4"/>
      <c r="T870" s="4"/>
      <c r="U870" s="4"/>
      <c r="V870" s="1084"/>
      <c r="W870" s="1559"/>
      <c r="X870" s="1559"/>
      <c r="Y870" s="1559"/>
      <c r="Z870" s="1559"/>
      <c r="AA870" s="1559"/>
      <c r="AB870" s="1559"/>
      <c r="AC870" s="1559"/>
      <c r="AU870" s="2"/>
      <c r="AZ870" s="2"/>
      <c r="BA870" s="2"/>
      <c r="BB870" s="2"/>
      <c r="BC870" s="2"/>
    </row>
    <row r="871" spans="3:55" ht="13" customHeight="1">
      <c r="J871" s="1083" t="s">
        <v>233</v>
      </c>
      <c r="K871" s="4"/>
      <c r="L871" s="4"/>
      <c r="M871" s="1560" t="s">
        <v>1378</v>
      </c>
      <c r="N871" s="1561"/>
      <c r="O871" s="1561"/>
      <c r="P871" s="1561"/>
      <c r="Q871" s="1561"/>
      <c r="R871" s="1561"/>
      <c r="S871" s="1561"/>
      <c r="T871" s="1561"/>
      <c r="U871" s="1561"/>
      <c r="V871" s="1562"/>
      <c r="W871" s="1559"/>
      <c r="X871" s="1559"/>
      <c r="Y871" s="1559"/>
      <c r="Z871" s="1559"/>
      <c r="AA871" s="1559"/>
      <c r="AB871" s="1559"/>
      <c r="AC871" s="1559"/>
      <c r="AD871" s="382"/>
      <c r="AU871" s="2"/>
      <c r="AV871" s="11"/>
      <c r="AW871" s="11"/>
      <c r="AX871" s="11"/>
      <c r="AY871" s="11"/>
      <c r="AZ871" s="2"/>
      <c r="BA871" s="2"/>
      <c r="BB871" s="2"/>
      <c r="BC871" s="2"/>
    </row>
    <row r="872" spans="3:55" ht="13" customHeight="1">
      <c r="J872" s="1083"/>
      <c r="K872" s="4"/>
      <c r="L872" s="4"/>
      <c r="M872" s="4"/>
      <c r="N872" s="4"/>
      <c r="O872" s="4"/>
      <c r="P872" s="4"/>
      <c r="Q872" s="4"/>
      <c r="R872" s="4"/>
      <c r="S872" s="4"/>
      <c r="T872" s="4"/>
      <c r="U872" s="4"/>
      <c r="V872" s="1075" t="s">
        <v>1590</v>
      </c>
      <c r="W872" s="1542">
        <f>SUM(W865:AC871)</f>
        <v>45412</v>
      </c>
      <c r="X872" s="1542"/>
      <c r="Y872" s="1542"/>
      <c r="Z872" s="1542"/>
      <c r="AA872" s="1542"/>
      <c r="AB872" s="1542"/>
      <c r="AC872" s="1542"/>
      <c r="AU872" s="2"/>
      <c r="AV872" s="11"/>
      <c r="AW872" s="11"/>
      <c r="AX872" s="11"/>
      <c r="AY872" s="11"/>
      <c r="AZ872" s="2"/>
      <c r="BA872" s="2"/>
      <c r="BB872" s="2"/>
      <c r="BC872" s="2"/>
    </row>
    <row r="873" spans="3:55" ht="13" customHeight="1">
      <c r="AU873" s="2"/>
      <c r="AV873" s="11"/>
      <c r="AW873" s="11"/>
      <c r="AX873" s="11"/>
      <c r="AY873" s="11"/>
      <c r="AZ873" s="2"/>
      <c r="BA873" s="2"/>
      <c r="BB873" s="2"/>
      <c r="BC873" s="2"/>
    </row>
    <row r="874" spans="3:55" ht="13" customHeight="1">
      <c r="C874" s="1" t="s">
        <v>1591</v>
      </c>
      <c r="J874" s="1083" t="s">
        <v>233</v>
      </c>
      <c r="K874" s="4"/>
      <c r="L874" s="4"/>
      <c r="M874" s="1560" t="s">
        <v>1378</v>
      </c>
      <c r="N874" s="1561"/>
      <c r="O874" s="1561"/>
      <c r="P874" s="1561"/>
      <c r="Q874" s="1561"/>
      <c r="R874" s="1561"/>
      <c r="S874" s="1561"/>
      <c r="T874" s="1561"/>
      <c r="U874" s="1561"/>
      <c r="V874" s="1562"/>
      <c r="W874" s="1410"/>
      <c r="X874" s="1295"/>
      <c r="Y874" s="1295"/>
      <c r="Z874" s="1295"/>
      <c r="AA874" s="1295"/>
      <c r="AB874" s="1295"/>
      <c r="AC874" s="1296"/>
      <c r="AD874" s="382"/>
      <c r="AV874" s="11"/>
      <c r="AW874" s="11"/>
      <c r="AX874" s="11"/>
      <c r="AY874" s="11"/>
      <c r="AZ874" s="2"/>
      <c r="BA874" s="2"/>
      <c r="BB874" s="2"/>
      <c r="BC874" s="2"/>
    </row>
    <row r="875" spans="3:55" ht="13" customHeight="1">
      <c r="C875" s="1" t="s">
        <v>1592</v>
      </c>
      <c r="J875" s="1083" t="s">
        <v>233</v>
      </c>
      <c r="K875" s="4"/>
      <c r="L875" s="4"/>
      <c r="M875" s="1560" t="s">
        <v>1378</v>
      </c>
      <c r="N875" s="1561"/>
      <c r="O875" s="1561"/>
      <c r="P875" s="1561"/>
      <c r="Q875" s="1561"/>
      <c r="R875" s="1561"/>
      <c r="S875" s="1561"/>
      <c r="T875" s="1561"/>
      <c r="U875" s="1561"/>
      <c r="V875" s="1562"/>
      <c r="W875" s="1410"/>
      <c r="X875" s="1295"/>
      <c r="Y875" s="1295"/>
      <c r="Z875" s="1295"/>
      <c r="AA875" s="1295"/>
      <c r="AB875" s="1295"/>
      <c r="AC875" s="1296"/>
      <c r="AD875" s="382"/>
      <c r="AV875" s="11"/>
      <c r="AW875" s="11"/>
      <c r="AX875" s="11"/>
      <c r="AY875" s="11"/>
      <c r="AZ875" s="2"/>
      <c r="BA875" s="2"/>
      <c r="BB875" s="2"/>
      <c r="BC875" s="2"/>
    </row>
    <row r="876" spans="3:55" ht="13" customHeight="1">
      <c r="J876" s="1083" t="s">
        <v>233</v>
      </c>
      <c r="K876" s="4"/>
      <c r="L876" s="4"/>
      <c r="M876" s="1560" t="s">
        <v>1378</v>
      </c>
      <c r="N876" s="1561"/>
      <c r="O876" s="1561"/>
      <c r="P876" s="1561"/>
      <c r="Q876" s="1561"/>
      <c r="R876" s="1561"/>
      <c r="S876" s="1561"/>
      <c r="T876" s="1561"/>
      <c r="U876" s="1561"/>
      <c r="V876" s="1562"/>
      <c r="W876" s="1410"/>
      <c r="X876" s="1295"/>
      <c r="Y876" s="1295"/>
      <c r="Z876" s="1295"/>
      <c r="AA876" s="1295"/>
      <c r="AB876" s="1295"/>
      <c r="AC876" s="1296"/>
      <c r="AL876" s="11"/>
      <c r="AM876" s="11"/>
      <c r="AN876" s="11"/>
      <c r="AO876" s="11"/>
      <c r="AP876" s="11"/>
      <c r="AQ876" s="11"/>
      <c r="AR876" s="11"/>
      <c r="AS876" s="11"/>
      <c r="AT876" s="11"/>
      <c r="AV876" s="2"/>
      <c r="AW876" s="2"/>
      <c r="AX876" s="2"/>
      <c r="AY876" s="2"/>
      <c r="AZ876" s="2"/>
      <c r="BA876" s="2"/>
      <c r="BB876" s="2"/>
      <c r="BC876" s="2"/>
    </row>
    <row r="877" spans="3:55" ht="13" customHeight="1">
      <c r="J877" s="1083" t="s">
        <v>233</v>
      </c>
      <c r="K877" s="4"/>
      <c r="L877" s="4"/>
      <c r="M877" s="1560" t="s">
        <v>1378</v>
      </c>
      <c r="N877" s="1561"/>
      <c r="O877" s="1561"/>
      <c r="P877" s="1561"/>
      <c r="Q877" s="1561"/>
      <c r="R877" s="1561"/>
      <c r="S877" s="1561"/>
      <c r="T877" s="1561"/>
      <c r="U877" s="1561"/>
      <c r="V877" s="1562"/>
      <c r="W877" s="1410"/>
      <c r="X877" s="1295"/>
      <c r="Y877" s="1295"/>
      <c r="Z877" s="1295"/>
      <c r="AA877" s="1295"/>
      <c r="AB877" s="1295"/>
      <c r="AC877" s="1296"/>
      <c r="AL877" s="11"/>
      <c r="AM877" s="11"/>
      <c r="AN877" s="11"/>
      <c r="AO877" s="11"/>
      <c r="AP877" s="11"/>
      <c r="AQ877" s="11"/>
      <c r="AR877" s="11"/>
      <c r="AS877" s="11"/>
      <c r="AT877" s="11"/>
      <c r="AV877" s="2"/>
      <c r="AW877" s="2"/>
      <c r="AX877" s="2"/>
      <c r="AY877" s="2"/>
      <c r="AZ877" s="2"/>
      <c r="BA877" s="2"/>
      <c r="BB877" s="2"/>
      <c r="BC877" s="2"/>
    </row>
    <row r="878" spans="3:55" ht="13" customHeight="1">
      <c r="J878" s="1083" t="s">
        <v>233</v>
      </c>
      <c r="K878" s="4"/>
      <c r="L878" s="4"/>
      <c r="M878" s="1560" t="s">
        <v>1378</v>
      </c>
      <c r="N878" s="1561"/>
      <c r="O878" s="1561"/>
      <c r="P878" s="1561"/>
      <c r="Q878" s="1561"/>
      <c r="R878" s="1561"/>
      <c r="S878" s="1561"/>
      <c r="T878" s="1561"/>
      <c r="U878" s="1561"/>
      <c r="V878" s="1562"/>
      <c r="W878" s="1410"/>
      <c r="X878" s="1295"/>
      <c r="Y878" s="1295"/>
      <c r="Z878" s="1295"/>
      <c r="AA878" s="1295"/>
      <c r="AB878" s="1295"/>
      <c r="AC878" s="1296"/>
      <c r="AL878" s="11"/>
      <c r="AM878" s="11"/>
      <c r="AN878" s="11"/>
      <c r="AO878" s="11"/>
      <c r="AP878" s="11"/>
      <c r="AQ878" s="11"/>
      <c r="AR878" s="11"/>
      <c r="AS878" s="11"/>
      <c r="AT878" s="11"/>
      <c r="AV878" s="2"/>
      <c r="AW878" s="2"/>
      <c r="AX878" s="2"/>
      <c r="AY878" s="2"/>
      <c r="AZ878" s="2"/>
      <c r="BA878" s="2"/>
      <c r="BB878" s="2"/>
      <c r="BC878" s="2"/>
    </row>
    <row r="879" spans="3:55" ht="13" customHeight="1">
      <c r="J879" s="1083"/>
      <c r="K879" s="4"/>
      <c r="L879" s="4"/>
      <c r="M879" s="4"/>
      <c r="N879" s="4"/>
      <c r="O879" s="4"/>
      <c r="P879" s="4"/>
      <c r="Q879" s="4"/>
      <c r="R879" s="4"/>
      <c r="S879" s="4"/>
      <c r="T879" s="4"/>
      <c r="U879" s="4"/>
      <c r="V879" s="1075" t="s">
        <v>1593</v>
      </c>
      <c r="W879" s="1407">
        <f>SUM(W874:AC878)</f>
        <v>0</v>
      </c>
      <c r="X879" s="1408"/>
      <c r="Y879" s="1408"/>
      <c r="Z879" s="1408"/>
      <c r="AA879" s="1408"/>
      <c r="AB879" s="1408"/>
      <c r="AC879" s="1409"/>
      <c r="AL879" s="11"/>
      <c r="AM879" s="11"/>
      <c r="AN879" s="11"/>
      <c r="AO879" s="11"/>
      <c r="AP879" s="11"/>
      <c r="AQ879" s="11"/>
      <c r="AR879" s="11"/>
      <c r="AS879" s="11"/>
      <c r="AT879" s="11"/>
      <c r="AV879" s="2"/>
      <c r="AW879" s="2"/>
      <c r="AX879" s="2"/>
      <c r="AY879" s="2"/>
      <c r="AZ879" s="2"/>
      <c r="BA879" s="2"/>
      <c r="BB879" s="2"/>
      <c r="BC879" s="2"/>
    </row>
    <row r="880" spans="3:55" ht="13"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3" customHeight="1">
      <c r="C881" s="1" t="s">
        <v>1594</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3"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3"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093" t="s">
        <v>1595</v>
      </c>
      <c r="AC883" s="1408">
        <f>W847+W855+W862+W863+W872+W879+W849</f>
        <v>431793</v>
      </c>
      <c r="AD883" s="1408"/>
      <c r="AE883" s="1408"/>
      <c r="AF883" s="1408"/>
      <c r="AG883" s="1408"/>
      <c r="AH883" s="1409"/>
      <c r="AL883" s="2"/>
      <c r="AM883" s="2"/>
      <c r="AN883" s="2"/>
      <c r="AO883" s="2"/>
      <c r="AP883" s="2"/>
      <c r="AQ883" s="2"/>
      <c r="AR883" s="2"/>
      <c r="AS883" s="2"/>
      <c r="AT883" s="2"/>
      <c r="AV883" s="2"/>
      <c r="AW883" s="2"/>
      <c r="AX883" s="2"/>
      <c r="AY883" s="2"/>
      <c r="AZ883" s="2"/>
      <c r="BA883" s="2"/>
      <c r="BB883" s="2"/>
      <c r="BC883" s="2"/>
    </row>
    <row r="884" spans="3:55" ht="13"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093" t="s">
        <v>1596</v>
      </c>
      <c r="AC884" s="1589">
        <f>O797+O777+G753</f>
        <v>80</v>
      </c>
      <c r="AD884" s="1589"/>
      <c r="AE884" s="1589"/>
      <c r="AF884" s="1589"/>
      <c r="AG884" s="1589"/>
      <c r="AH884" s="1590"/>
      <c r="AL884" s="2"/>
      <c r="AM884" s="2"/>
      <c r="AN884" s="2"/>
      <c r="AO884" s="2"/>
      <c r="AP884" s="2"/>
      <c r="AQ884" s="2"/>
      <c r="AR884" s="2"/>
      <c r="AS884" s="2"/>
      <c r="AT884" s="2"/>
      <c r="AZ884" s="2"/>
      <c r="BA884" s="2"/>
      <c r="BB884" s="2"/>
      <c r="BC884" s="2"/>
    </row>
    <row r="885" spans="3:55" ht="13" customHeight="1">
      <c r="C885" s="29"/>
      <c r="D885" s="30"/>
      <c r="E885" s="1642" t="s">
        <v>1597</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542">
        <f>IF(ISERROR((ROUNDDOWN(AC883/AC884,0))),0,(ROUNDDOWN(AC883/AC884,0)))</f>
        <v>5397</v>
      </c>
      <c r="AD885" s="1542"/>
      <c r="AE885" s="1542"/>
      <c r="AF885" s="1542"/>
      <c r="AG885" s="1542"/>
      <c r="AH885" s="1542"/>
      <c r="AL885" s="2"/>
      <c r="AM885" s="2"/>
      <c r="AN885" s="2"/>
      <c r="AO885" s="2"/>
      <c r="AP885" s="2"/>
      <c r="AQ885" s="2"/>
      <c r="AR885" s="2"/>
      <c r="AS885" s="2"/>
      <c r="AT885" s="2"/>
      <c r="AZ885" s="2"/>
      <c r="BA885" s="2"/>
      <c r="BB885" s="2"/>
      <c r="BC885" s="2"/>
    </row>
    <row r="886" spans="3:55" ht="13" customHeight="1">
      <c r="C886" s="1083"/>
      <c r="D886" s="4"/>
      <c r="E886" s="4"/>
      <c r="F886" s="4"/>
      <c r="G886" s="4"/>
      <c r="H886" s="4"/>
      <c r="I886" s="4"/>
      <c r="J886" s="4"/>
      <c r="K886" s="4"/>
      <c r="L886" s="4"/>
      <c r="M886" s="4"/>
      <c r="N886" s="4"/>
      <c r="O886" s="4"/>
      <c r="P886" s="4"/>
      <c r="Q886" s="4"/>
      <c r="R886" s="4"/>
      <c r="S886" s="4"/>
      <c r="T886" s="4"/>
      <c r="U886" s="4"/>
      <c r="V886" s="4"/>
      <c r="W886" s="4"/>
      <c r="X886" s="4"/>
      <c r="Y886" s="4"/>
      <c r="Z886" s="4"/>
      <c r="AA886" s="4"/>
      <c r="AB886" s="1075" t="s">
        <v>1598</v>
      </c>
      <c r="AC886" s="1591">
        <f>+'Sources and Uses Budget'!B75</f>
        <v>154850</v>
      </c>
      <c r="AD886" s="1592"/>
      <c r="AE886" s="1592"/>
      <c r="AF886" s="1592"/>
      <c r="AG886" s="1592"/>
      <c r="AH886" s="1592"/>
      <c r="AL886" s="2"/>
      <c r="AM886" s="2"/>
      <c r="AN886" s="2"/>
      <c r="AO886" s="2"/>
      <c r="AP886" s="2"/>
      <c r="AQ886" s="2"/>
      <c r="AR886" s="2"/>
      <c r="AS886" s="2"/>
      <c r="AT886" s="2"/>
      <c r="AZ886" s="2"/>
      <c r="BA886" s="2"/>
      <c r="BB886" s="2"/>
      <c r="BC886" s="2"/>
    </row>
    <row r="887" spans="3:55" ht="13" customHeight="1">
      <c r="C887" s="1083"/>
      <c r="D887" s="4"/>
      <c r="E887" s="4"/>
      <c r="F887" s="4"/>
      <c r="G887" s="4"/>
      <c r="H887" s="4"/>
      <c r="I887" s="4"/>
      <c r="J887" s="4"/>
      <c r="K887" s="4"/>
      <c r="L887" s="4"/>
      <c r="M887" s="4"/>
      <c r="N887" s="4"/>
      <c r="O887" s="4"/>
      <c r="P887" s="4"/>
      <c r="Q887" s="4"/>
      <c r="R887" s="4"/>
      <c r="S887" s="4"/>
      <c r="T887" s="4"/>
      <c r="U887" s="4"/>
      <c r="V887" s="4"/>
      <c r="W887" s="4"/>
      <c r="X887" s="4"/>
      <c r="Y887" s="4"/>
      <c r="Z887" s="4"/>
      <c r="AA887" s="4"/>
      <c r="AB887" s="1075" t="s">
        <v>1599</v>
      </c>
      <c r="AC887" s="1296">
        <v>0</v>
      </c>
      <c r="AD887" s="1559"/>
      <c r="AE887" s="1559"/>
      <c r="AF887" s="1559"/>
      <c r="AG887" s="1559"/>
      <c r="AH887" s="1559"/>
      <c r="AL887" s="2"/>
      <c r="AM887" s="2"/>
      <c r="AN887" s="2"/>
      <c r="AO887" s="2"/>
      <c r="AP887" s="2"/>
      <c r="AQ887" s="2"/>
      <c r="AR887" s="2"/>
      <c r="AS887" s="2"/>
      <c r="AT887" s="2"/>
      <c r="AZ887" s="2"/>
      <c r="BA887" s="2"/>
      <c r="BB887" s="2"/>
      <c r="BC887" s="2"/>
    </row>
    <row r="888" spans="3:55" ht="13" customHeight="1">
      <c r="C888" s="1083"/>
      <c r="D888" s="4"/>
      <c r="E888" s="4"/>
      <c r="F888" s="4"/>
      <c r="G888" s="4"/>
      <c r="H888" s="4"/>
      <c r="I888" s="4"/>
      <c r="J888" s="4"/>
      <c r="K888" s="4"/>
      <c r="L888" s="4"/>
      <c r="M888" s="4"/>
      <c r="N888" s="4"/>
      <c r="O888" s="4"/>
      <c r="P888" s="4"/>
      <c r="Q888" s="4"/>
      <c r="R888" s="4"/>
      <c r="S888" s="4"/>
      <c r="T888" s="4"/>
      <c r="U888" s="4"/>
      <c r="V888" s="4"/>
      <c r="W888" s="4"/>
      <c r="X888" s="4"/>
      <c r="Y888" s="4"/>
      <c r="Z888" s="4"/>
      <c r="AA888" s="4"/>
      <c r="AB888" s="1075" t="s">
        <v>1600</v>
      </c>
      <c r="AC888" s="1295">
        <v>20600</v>
      </c>
      <c r="AD888" s="1295"/>
      <c r="AE888" s="1295"/>
      <c r="AF888" s="1295"/>
      <c r="AG888" s="1295"/>
      <c r="AH888" s="1296"/>
      <c r="AL888" s="2"/>
      <c r="AM888" s="2"/>
      <c r="AN888" s="2"/>
      <c r="AO888" s="2"/>
      <c r="AP888" s="2"/>
      <c r="AQ888" s="2"/>
      <c r="AR888" s="2"/>
      <c r="AS888" s="2"/>
      <c r="AT888" s="2"/>
      <c r="AZ888" s="2"/>
      <c r="BA888" s="2"/>
      <c r="BB888" s="2"/>
      <c r="BC888" s="2"/>
    </row>
    <row r="889" spans="3:55" ht="13" customHeight="1">
      <c r="C889" s="1083"/>
      <c r="D889" s="4"/>
      <c r="E889" s="4"/>
      <c r="F889" s="4"/>
      <c r="G889" s="4"/>
      <c r="H889" s="4"/>
      <c r="I889" s="4"/>
      <c r="J889" s="4"/>
      <c r="K889" s="4"/>
      <c r="L889" s="4"/>
      <c r="M889" s="4"/>
      <c r="N889" s="4"/>
      <c r="O889" s="4"/>
      <c r="P889" s="4"/>
      <c r="Q889" s="4"/>
      <c r="R889" s="4"/>
      <c r="S889" s="4"/>
      <c r="T889" s="4"/>
      <c r="U889" s="4"/>
      <c r="V889" s="4"/>
      <c r="W889" s="4"/>
      <c r="X889" s="4"/>
      <c r="Y889" s="4"/>
      <c r="Z889" s="4"/>
      <c r="AA889" s="4"/>
      <c r="AB889" s="1075" t="s">
        <v>1601</v>
      </c>
      <c r="AC889" s="1295">
        <v>40000</v>
      </c>
      <c r="AD889" s="1295"/>
      <c r="AE889" s="1295"/>
      <c r="AF889" s="1295"/>
      <c r="AG889" s="1295"/>
      <c r="AH889" s="1296"/>
      <c r="AZ889" s="2"/>
      <c r="BA889" s="2"/>
      <c r="BB889" s="2"/>
      <c r="BC889" s="2"/>
    </row>
    <row r="890" spans="3:55" ht="13" customHeight="1">
      <c r="C890" s="1083"/>
      <c r="D890" s="4"/>
      <c r="E890" s="4"/>
      <c r="F890" s="4"/>
      <c r="G890" s="4"/>
      <c r="H890" s="4"/>
      <c r="I890" s="4"/>
      <c r="J890" s="4"/>
      <c r="K890" s="4"/>
      <c r="L890" s="4"/>
      <c r="M890" s="4"/>
      <c r="N890" s="4"/>
      <c r="O890" s="4"/>
      <c r="P890" s="4"/>
      <c r="Q890" s="4"/>
      <c r="R890" s="4"/>
      <c r="S890" s="4"/>
      <c r="T890" s="4"/>
      <c r="U890" s="4"/>
      <c r="V890" s="4"/>
      <c r="W890" s="4"/>
      <c r="X890" s="4"/>
      <c r="Y890" s="4"/>
      <c r="Z890" s="4"/>
      <c r="AA890" s="4"/>
      <c r="AB890" s="1075" t="s">
        <v>1602</v>
      </c>
      <c r="AC890" s="1442">
        <v>9888</v>
      </c>
      <c r="AD890" s="1443"/>
      <c r="AE890" s="1443"/>
      <c r="AF890" s="1443"/>
      <c r="AG890" s="1443"/>
      <c r="AH890" s="1444"/>
      <c r="AZ890" s="2"/>
      <c r="BA890" s="2"/>
      <c r="BB890" s="2"/>
      <c r="BC890" s="2"/>
    </row>
    <row r="891" spans="3:55" ht="13" customHeight="1">
      <c r="C891" s="1083"/>
      <c r="D891" s="4"/>
      <c r="E891" s="4"/>
      <c r="F891" s="4"/>
      <c r="G891" s="4"/>
      <c r="H891" s="4"/>
      <c r="I891" s="4"/>
      <c r="J891" s="4"/>
      <c r="K891" s="4"/>
      <c r="L891" s="4"/>
      <c r="M891" s="4"/>
      <c r="N891" s="4"/>
      <c r="O891" s="4"/>
      <c r="P891" s="4"/>
      <c r="Q891" s="4"/>
      <c r="R891" s="4"/>
      <c r="S891" s="4"/>
      <c r="T891" s="4"/>
      <c r="U891" s="4"/>
      <c r="V891" s="4"/>
      <c r="W891" s="4"/>
      <c r="X891" s="4"/>
      <c r="Y891" s="4"/>
      <c r="Z891" s="4"/>
      <c r="AA891" s="4"/>
      <c r="AB891" s="1075" t="s">
        <v>1603</v>
      </c>
      <c r="AC891" s="1295">
        <v>0</v>
      </c>
      <c r="AD891" s="1295"/>
      <c r="AE891" s="1295"/>
      <c r="AF891" s="1295"/>
      <c r="AG891" s="1295"/>
      <c r="AH891" s="1296"/>
      <c r="AZ891" s="2"/>
      <c r="BA891" s="2"/>
      <c r="BB891" s="2"/>
      <c r="BC891" s="2"/>
    </row>
    <row r="892" spans="3:55" ht="13" customHeight="1">
      <c r="C892" s="1527" t="s">
        <v>1604</v>
      </c>
      <c r="D892" s="1528"/>
      <c r="E892" s="1528"/>
      <c r="F892" s="1528"/>
      <c r="G892" s="1528"/>
      <c r="H892" s="1528"/>
      <c r="I892" s="1528"/>
      <c r="J892" s="1528"/>
      <c r="K892" s="1528"/>
      <c r="L892" s="1528"/>
      <c r="M892" s="1528"/>
      <c r="N892" s="1528"/>
      <c r="O892" s="1528"/>
      <c r="P892" s="1528"/>
      <c r="Q892" s="1528"/>
      <c r="R892" s="1528"/>
      <c r="S892" s="1528"/>
      <c r="T892" s="1528"/>
      <c r="U892" s="1528"/>
      <c r="V892" s="1528"/>
      <c r="W892" s="1528"/>
      <c r="X892" s="1528"/>
      <c r="Y892" s="1528"/>
      <c r="Z892" s="1528"/>
      <c r="AA892" s="1528"/>
      <c r="AB892" s="1530"/>
      <c r="AC892" s="1295"/>
      <c r="AD892" s="1295"/>
      <c r="AE892" s="1295"/>
      <c r="AF892" s="1295"/>
      <c r="AG892" s="1295"/>
      <c r="AH892" s="1296"/>
      <c r="AZ892" s="2"/>
      <c r="BA892" s="2"/>
      <c r="BB892" s="2"/>
      <c r="BC892" s="2"/>
    </row>
    <row r="893" spans="3:55" ht="13" customHeight="1">
      <c r="C893" s="1083"/>
      <c r="D893" s="4"/>
      <c r="E893" s="4"/>
      <c r="F893" s="4"/>
      <c r="G893" s="4"/>
      <c r="H893" s="4"/>
      <c r="I893" s="4"/>
      <c r="J893" s="4"/>
      <c r="K893" s="4"/>
      <c r="L893" s="4"/>
      <c r="M893" s="4"/>
      <c r="N893" s="4"/>
      <c r="O893" s="4"/>
      <c r="P893" s="4"/>
      <c r="Q893" s="4"/>
      <c r="R893" s="4"/>
      <c r="S893" s="4"/>
      <c r="T893" s="4"/>
      <c r="U893" s="4"/>
      <c r="V893" s="4"/>
      <c r="W893" s="4"/>
      <c r="X893" s="4"/>
      <c r="Y893" s="4"/>
      <c r="Z893" s="4"/>
      <c r="AA893" s="4"/>
      <c r="AB893" s="1075" t="s">
        <v>1605</v>
      </c>
      <c r="AC893" s="1295"/>
      <c r="AD893" s="1295"/>
      <c r="AE893" s="1295"/>
      <c r="AF893" s="1295"/>
      <c r="AG893" s="1295"/>
      <c r="AH893" s="1296"/>
      <c r="AZ893" s="2"/>
      <c r="BA893" s="2"/>
      <c r="BB893" s="2"/>
      <c r="BC893" s="2"/>
    </row>
    <row r="894" spans="3:55" ht="13" customHeight="1">
      <c r="C894" s="1647" t="s">
        <v>1606</v>
      </c>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559">
        <v>4000</v>
      </c>
      <c r="AD894" s="1559"/>
      <c r="AE894" s="1559"/>
      <c r="AF894" s="1559"/>
      <c r="AG894" s="1559"/>
      <c r="AH894" s="1559"/>
      <c r="AZ894" s="2"/>
      <c r="BA894" s="2"/>
      <c r="BB894" s="2"/>
      <c r="BC894" s="2"/>
    </row>
    <row r="895" spans="3:55" ht="13" customHeight="1">
      <c r="C895" s="1647" t="s">
        <v>1607</v>
      </c>
      <c r="D895" s="1648"/>
      <c r="E895" s="1648"/>
      <c r="F895" s="1648"/>
      <c r="G895" s="1648"/>
      <c r="H895" s="1648"/>
      <c r="I895" s="1648"/>
      <c r="J895" s="1648"/>
      <c r="K895" s="1648"/>
      <c r="L895" s="1648"/>
      <c r="M895" s="1648"/>
      <c r="N895" s="1648"/>
      <c r="O895" s="1648"/>
      <c r="P895" s="1648"/>
      <c r="Q895" s="1648"/>
      <c r="R895" s="1648"/>
      <c r="S895" s="1648"/>
      <c r="T895" s="1648"/>
      <c r="U895" s="1648"/>
      <c r="V895" s="1648"/>
      <c r="W895" s="1648"/>
      <c r="X895" s="1648"/>
      <c r="Y895" s="1648"/>
      <c r="Z895" s="1648"/>
      <c r="AA895" s="1648"/>
      <c r="AB895" s="1649"/>
      <c r="AC895" s="1559"/>
      <c r="AD895" s="1559"/>
      <c r="AE895" s="1559"/>
      <c r="AF895" s="1559"/>
      <c r="AG895" s="1559"/>
      <c r="AH895" s="1559"/>
      <c r="AU895" s="54"/>
      <c r="AZ895" s="2"/>
      <c r="BA895" s="2"/>
      <c r="BB895" s="2"/>
      <c r="BC895" s="2"/>
    </row>
    <row r="896" spans="3:55" ht="13" customHeight="1">
      <c r="E896" s="363"/>
      <c r="AB896" s="37"/>
      <c r="AC896" s="71"/>
      <c r="AD896" s="71"/>
      <c r="AE896" s="71"/>
      <c r="AF896" s="71"/>
      <c r="AG896" s="71"/>
      <c r="AH896" s="71"/>
      <c r="AU896" s="54"/>
      <c r="AZ896" s="2"/>
      <c r="BA896" s="2"/>
      <c r="BB896" s="2"/>
      <c r="BC896" s="2"/>
    </row>
    <row r="897" spans="1:58" ht="13" customHeight="1">
      <c r="A897" s="1" t="s">
        <v>1297</v>
      </c>
      <c r="C897" s="1" t="s">
        <v>1608</v>
      </c>
      <c r="X897" s="10"/>
      <c r="Y897" s="10"/>
      <c r="Z897" s="10"/>
      <c r="AA897" s="10"/>
      <c r="AB897" s="10"/>
      <c r="AC897" s="10"/>
      <c r="AD897" s="10"/>
      <c r="AU897" s="54"/>
      <c r="AZ897" s="2"/>
      <c r="BB897" s="23"/>
      <c r="BC897" s="23"/>
    </row>
    <row r="898" spans="1:58" ht="13" customHeight="1">
      <c r="X898" s="10"/>
      <c r="Y898" s="10"/>
      <c r="Z898" s="10"/>
      <c r="AA898" s="10"/>
      <c r="AB898" s="10"/>
      <c r="AC898" s="10"/>
      <c r="AD898" s="10"/>
      <c r="AF898" s="382"/>
      <c r="AG898" s="1047"/>
      <c r="AH898" s="1047"/>
      <c r="AI898" s="1047"/>
      <c r="AU898" s="54"/>
      <c r="AZ898" s="2"/>
      <c r="BB898" s="23"/>
      <c r="BC898" s="23"/>
      <c r="BD898" s="11"/>
      <c r="BE898" s="11"/>
      <c r="BF898" s="11"/>
    </row>
    <row r="899" spans="1:58" ht="13" customHeight="1">
      <c r="B899" s="1"/>
      <c r="H899" s="1090" t="s">
        <v>1609</v>
      </c>
      <c r="I899" s="4"/>
      <c r="J899" s="4"/>
      <c r="K899" s="4"/>
      <c r="L899" s="4"/>
      <c r="M899" s="4"/>
      <c r="N899" s="4"/>
      <c r="O899" s="4"/>
      <c r="P899" s="4"/>
      <c r="Q899" s="4"/>
      <c r="R899" s="4"/>
      <c r="S899" s="4"/>
      <c r="T899" s="4"/>
      <c r="U899" s="4"/>
      <c r="V899" s="4"/>
      <c r="W899" s="4"/>
      <c r="X899" s="4"/>
      <c r="Y899" s="1084"/>
      <c r="Z899" s="1410"/>
      <c r="AA899" s="1295"/>
      <c r="AB899" s="1295"/>
      <c r="AC899" s="1295"/>
      <c r="AD899" s="1295"/>
      <c r="AE899" s="1296"/>
      <c r="AF899" s="382"/>
      <c r="AZ899" s="2"/>
      <c r="BB899" s="23"/>
      <c r="BC899" s="646"/>
      <c r="BD899" s="1551"/>
      <c r="BE899" s="1551"/>
      <c r="BF899" s="11"/>
    </row>
    <row r="900" spans="1:58" ht="13" customHeight="1">
      <c r="H900" s="1090" t="s">
        <v>1610</v>
      </c>
      <c r="I900" s="4"/>
      <c r="J900" s="4"/>
      <c r="K900" s="4"/>
      <c r="L900" s="4"/>
      <c r="M900" s="4"/>
      <c r="N900" s="4"/>
      <c r="O900" s="4"/>
      <c r="P900" s="4"/>
      <c r="Q900" s="4"/>
      <c r="R900" s="4"/>
      <c r="S900" s="4"/>
      <c r="T900" s="4"/>
      <c r="U900" s="4"/>
      <c r="V900" s="4"/>
      <c r="W900" s="4"/>
      <c r="X900" s="4"/>
      <c r="Y900" s="4"/>
      <c r="Z900" s="1410"/>
      <c r="AA900" s="1295"/>
      <c r="AB900" s="1295"/>
      <c r="AC900" s="1295"/>
      <c r="AD900" s="1295"/>
      <c r="AE900" s="1296"/>
      <c r="AZ900" s="2"/>
      <c r="BB900" s="23"/>
      <c r="BC900" s="646"/>
      <c r="BD900" s="1551"/>
      <c r="BE900" s="1551"/>
      <c r="BF900" s="11"/>
    </row>
    <row r="901" spans="1:58" ht="13" customHeight="1">
      <c r="H901" s="1090" t="s">
        <v>1611</v>
      </c>
      <c r="I901" s="4"/>
      <c r="J901" s="4"/>
      <c r="K901" s="4"/>
      <c r="L901" s="4"/>
      <c r="M901" s="4"/>
      <c r="N901" s="4"/>
      <c r="O901" s="4"/>
      <c r="P901" s="4"/>
      <c r="Q901" s="4"/>
      <c r="R901" s="4"/>
      <c r="S901" s="4"/>
      <c r="T901" s="4"/>
      <c r="U901" s="4"/>
      <c r="V901" s="4"/>
      <c r="W901" s="4"/>
      <c r="X901" s="4"/>
      <c r="Y901" s="4"/>
      <c r="Z901" s="1410"/>
      <c r="AA901" s="1295"/>
      <c r="AB901" s="1295"/>
      <c r="AC901" s="1295"/>
      <c r="AD901" s="1295"/>
      <c r="AE901" s="1296"/>
      <c r="AZ901" s="2"/>
      <c r="BB901" s="23"/>
      <c r="BC901" s="646"/>
      <c r="BD901" s="1552"/>
      <c r="BE901" s="1552"/>
      <c r="BF901" s="11"/>
    </row>
    <row r="902" spans="1:58" ht="13" customHeight="1">
      <c r="H902" s="1083"/>
      <c r="I902" s="4"/>
      <c r="J902" s="4"/>
      <c r="K902" s="4"/>
      <c r="L902" s="4"/>
      <c r="M902" s="4"/>
      <c r="N902" s="4"/>
      <c r="O902" s="4"/>
      <c r="P902" s="4"/>
      <c r="Q902" s="4"/>
      <c r="R902" s="4"/>
      <c r="S902" s="4"/>
      <c r="T902" s="4"/>
      <c r="U902" s="4"/>
      <c r="V902" s="4"/>
      <c r="W902" s="4"/>
      <c r="X902" s="4"/>
      <c r="Y902" s="103" t="s">
        <v>1612</v>
      </c>
      <c r="Z902" s="1407">
        <f>Z899-(Z900+Z901)</f>
        <v>0</v>
      </c>
      <c r="AA902" s="1408"/>
      <c r="AB902" s="1408"/>
      <c r="AC902" s="1408"/>
      <c r="AD902" s="1408"/>
      <c r="AE902" s="1409"/>
      <c r="AZ902" s="2"/>
      <c r="BB902" s="23"/>
      <c r="BC902" s="646"/>
      <c r="BD902" s="1552"/>
      <c r="BE902" s="1552"/>
      <c r="BF902" s="11"/>
    </row>
    <row r="903" spans="1:58" ht="13" customHeight="1">
      <c r="C903" s="363"/>
      <c r="D903" s="1068"/>
      <c r="E903" s="1047"/>
      <c r="F903" s="1047"/>
      <c r="G903" s="104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47"/>
      <c r="AZ903" s="2"/>
      <c r="BB903" s="23"/>
      <c r="BC903" s="646"/>
      <c r="BD903" s="1552"/>
      <c r="BE903" s="1552"/>
      <c r="BF903" s="11"/>
    </row>
    <row r="904" spans="1:58" ht="13" customHeight="1">
      <c r="C904" t="s">
        <v>1613</v>
      </c>
      <c r="D904" s="12"/>
      <c r="E904" s="1047"/>
      <c r="F904" s="1047"/>
      <c r="G904" s="104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47"/>
      <c r="AZ904" s="2"/>
      <c r="BB904" s="23"/>
      <c r="BC904" s="646"/>
      <c r="BD904" s="1551"/>
      <c r="BE904" s="1552"/>
      <c r="BF904" s="11"/>
    </row>
    <row r="905" spans="1:58" ht="13" customHeight="1">
      <c r="C905" s="104" t="s">
        <v>1614</v>
      </c>
      <c r="D905" s="12"/>
      <c r="E905" s="1047"/>
      <c r="F905" s="1047"/>
      <c r="G905" s="104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47"/>
      <c r="AV905" s="54"/>
      <c r="AW905" s="54"/>
      <c r="AX905" s="54"/>
      <c r="AY905" s="54"/>
      <c r="AZ905" s="2"/>
      <c r="BB905" s="23"/>
      <c r="BC905" s="646"/>
      <c r="BD905" s="1554"/>
      <c r="BE905" s="1554"/>
      <c r="BF905" s="1554"/>
    </row>
    <row r="906" spans="1:58" ht="13" customHeight="1">
      <c r="C906" s="104" t="s">
        <v>1615</v>
      </c>
      <c r="D906" s="12"/>
      <c r="E906" s="1047"/>
      <c r="F906" s="1047"/>
      <c r="G906" s="104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47"/>
      <c r="AV906" s="54"/>
      <c r="AW906" s="54"/>
      <c r="AX906" s="54"/>
      <c r="AY906" s="54"/>
      <c r="AZ906" s="2"/>
      <c r="BB906" s="23"/>
      <c r="BC906" s="646"/>
      <c r="BD906" s="1553"/>
      <c r="BE906" s="1553"/>
      <c r="BF906" s="1553"/>
    </row>
    <row r="907" spans="1:58" ht="13" customHeight="1">
      <c r="C907" s="215" t="s">
        <v>1616</v>
      </c>
      <c r="D907" s="12"/>
      <c r="E907" s="1047"/>
      <c r="F907" s="1047"/>
      <c r="G907" s="104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47"/>
      <c r="AV907" s="54"/>
      <c r="AW907" s="54"/>
      <c r="AX907" s="54"/>
      <c r="AY907" s="54"/>
      <c r="AZ907" s="2"/>
      <c r="BB907" s="23"/>
      <c r="BC907" s="646"/>
      <c r="BD907" s="1552"/>
      <c r="BE907" s="1552"/>
      <c r="BF907" s="11"/>
    </row>
    <row r="908" spans="1:58" ht="13" customHeight="1">
      <c r="D908" s="12"/>
      <c r="E908" s="1104"/>
      <c r="F908" s="1104"/>
      <c r="G908" s="1104"/>
      <c r="H908" s="1104"/>
      <c r="I908" s="1104"/>
      <c r="J908" s="1104"/>
      <c r="K908" s="1104"/>
      <c r="L908" s="1104"/>
      <c r="M908" s="1104"/>
      <c r="N908" s="1104"/>
      <c r="O908" s="1104"/>
      <c r="P908" s="1104"/>
      <c r="Q908" s="1104"/>
      <c r="R908" s="1104"/>
      <c r="S908" s="1104"/>
      <c r="T908" s="1104"/>
      <c r="U908" s="1104"/>
      <c r="V908" s="1104"/>
      <c r="W908" s="1104"/>
      <c r="X908" s="1104"/>
      <c r="Y908" s="1104"/>
      <c r="Z908" s="1104"/>
      <c r="AA908" s="1104"/>
      <c r="AB908" s="1104"/>
      <c r="AC908" s="1104"/>
      <c r="AD908" s="1104"/>
      <c r="AE908" s="1104"/>
      <c r="AF908" s="1104"/>
      <c r="AG908" s="1104"/>
      <c r="AH908" s="1104"/>
      <c r="AI908" s="1104"/>
      <c r="AV908" s="54"/>
      <c r="AW908" s="54"/>
      <c r="AX908" s="54"/>
      <c r="AY908" s="54"/>
      <c r="AZ908" s="2"/>
      <c r="BB908" s="23"/>
      <c r="BC908" s="646"/>
      <c r="BD908" s="1551"/>
      <c r="BE908" s="1552"/>
      <c r="BF908" s="11"/>
    </row>
    <row r="909" spans="1:58" ht="13" customHeight="1">
      <c r="AZ909" s="2"/>
      <c r="BB909" s="23"/>
      <c r="BC909" s="646"/>
    </row>
    <row r="910" spans="1:58" ht="13" customHeight="1">
      <c r="A910" s="1486" t="s">
        <v>1617</v>
      </c>
      <c r="B910" s="1486"/>
      <c r="C910" s="1486"/>
      <c r="D910" s="1486"/>
      <c r="E910" s="1486"/>
      <c r="F910" s="1486"/>
      <c r="G910" s="1486"/>
      <c r="H910" s="1486"/>
      <c r="I910" s="1486"/>
      <c r="J910" s="1486"/>
      <c r="K910" s="1486"/>
      <c r="L910" s="1486"/>
      <c r="M910" s="1486"/>
      <c r="N910" s="1486"/>
      <c r="O910" s="1486"/>
      <c r="P910" s="1486"/>
      <c r="Q910" s="1486"/>
      <c r="R910" s="1486"/>
      <c r="S910" s="1486"/>
      <c r="T910" s="1486"/>
      <c r="U910" s="1486"/>
      <c r="V910" s="1486"/>
      <c r="W910" s="1486"/>
      <c r="X910" s="1486"/>
      <c r="Y910" s="1486"/>
      <c r="Z910" s="1486"/>
      <c r="AA910" s="1486"/>
      <c r="AB910" s="1486"/>
      <c r="AC910" s="1486"/>
      <c r="AD910" s="1486"/>
      <c r="AE910" s="1486"/>
      <c r="AF910" s="1486"/>
      <c r="AG910" s="1486"/>
      <c r="AH910" s="1486"/>
      <c r="AI910" s="1486"/>
      <c r="AJ910" s="1486"/>
      <c r="AK910" s="1486"/>
      <c r="AL910" s="1486"/>
      <c r="AM910" s="1486"/>
      <c r="AN910" s="1486"/>
      <c r="AO910" s="1486"/>
      <c r="AP910" s="1486"/>
      <c r="AQ910" s="1486"/>
      <c r="AR910" s="1486"/>
      <c r="AS910" s="1486"/>
      <c r="AT910" s="1486"/>
      <c r="AZ910" s="2"/>
      <c r="BA910" s="2"/>
      <c r="BB910" s="23"/>
      <c r="BC910" s="23"/>
      <c r="BD910" s="1551"/>
      <c r="BE910" s="1552"/>
      <c r="BF910" s="717"/>
    </row>
    <row r="911" spans="1:58" ht="13" customHeight="1">
      <c r="A911" s="1486"/>
      <c r="B911" s="1486"/>
      <c r="C911" s="1486"/>
      <c r="D911" s="1486"/>
      <c r="E911" s="1486"/>
      <c r="F911" s="1486"/>
      <c r="G911" s="1486"/>
      <c r="H911" s="1486"/>
      <c r="I911" s="1486"/>
      <c r="J911" s="1486"/>
      <c r="K911" s="1486"/>
      <c r="L911" s="1486"/>
      <c r="M911" s="1486"/>
      <c r="N911" s="1486"/>
      <c r="O911" s="1486"/>
      <c r="P911" s="1486"/>
      <c r="Q911" s="1486"/>
      <c r="R911" s="1486"/>
      <c r="S911" s="1486"/>
      <c r="T911" s="1486"/>
      <c r="U911" s="1486"/>
      <c r="V911" s="1486"/>
      <c r="W911" s="1486"/>
      <c r="X911" s="1486"/>
      <c r="Y911" s="1486"/>
      <c r="Z911" s="1486"/>
      <c r="AA911" s="1486"/>
      <c r="AB911" s="1486"/>
      <c r="AC911" s="1486"/>
      <c r="AD911" s="1486"/>
      <c r="AE911" s="1486"/>
      <c r="AF911" s="1486"/>
      <c r="AG911" s="1486"/>
      <c r="AH911" s="1486"/>
      <c r="AI911" s="1486"/>
      <c r="AJ911" s="1486"/>
      <c r="AK911" s="1486"/>
      <c r="AL911" s="1486"/>
      <c r="AM911" s="1486"/>
      <c r="AN911" s="1486"/>
      <c r="AO911" s="1486"/>
      <c r="AP911" s="1486"/>
      <c r="AQ911" s="1486"/>
      <c r="AR911" s="1486"/>
      <c r="AS911" s="1486"/>
      <c r="AT911" s="1486"/>
      <c r="AZ911" s="2"/>
      <c r="BA911" s="2"/>
      <c r="BB911" s="2"/>
      <c r="BC911" s="2"/>
      <c r="BD911" s="2"/>
      <c r="BE911" s="2"/>
      <c r="BF911" s="2"/>
    </row>
    <row r="912" spans="1:58" ht="13"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3" customHeight="1">
      <c r="A913" s="1" t="s">
        <v>872</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3" customHeight="1">
      <c r="AZ914" s="2"/>
      <c r="BA914" s="2"/>
      <c r="BB914" s="2"/>
      <c r="BC914" s="2"/>
    </row>
    <row r="915" spans="1:58" ht="13" customHeight="1">
      <c r="F915" s="1644" t="s">
        <v>1618</v>
      </c>
      <c r="G915" s="1645"/>
      <c r="H915" s="1645"/>
      <c r="I915" s="1645"/>
      <c r="J915" s="1645"/>
      <c r="K915" s="1645"/>
      <c r="L915" s="1645"/>
      <c r="M915" s="1645"/>
      <c r="N915" s="1645"/>
      <c r="O915" s="1645"/>
      <c r="P915" s="1645"/>
      <c r="Q915" s="1645"/>
      <c r="R915" s="1645"/>
      <c r="S915" s="1645"/>
      <c r="T915" s="1646"/>
      <c r="U915" s="1690" t="s">
        <v>1619</v>
      </c>
      <c r="V915" s="1624"/>
      <c r="W915" s="1624"/>
      <c r="X915" s="1624"/>
      <c r="Y915" s="1624"/>
      <c r="Z915" s="1624"/>
      <c r="AA915" s="1081"/>
      <c r="AB915" s="191"/>
      <c r="AC915" s="191"/>
      <c r="AD915" s="191"/>
      <c r="AE915" s="191"/>
      <c r="AF915" s="1170"/>
      <c r="AZ915" s="2"/>
      <c r="BA915" s="2"/>
      <c r="BB915" s="2"/>
      <c r="BC915" s="2"/>
    </row>
    <row r="916" spans="1:58" ht="13" customHeight="1">
      <c r="B916" s="1"/>
      <c r="F916" s="1691" t="s">
        <v>1620</v>
      </c>
      <c r="G916" s="1692"/>
      <c r="H916" s="1692"/>
      <c r="I916" s="1692"/>
      <c r="J916" s="1692"/>
      <c r="K916" s="1692"/>
      <c r="L916" s="1692"/>
      <c r="M916" s="1692"/>
      <c r="N916" s="1692"/>
      <c r="O916" s="1692"/>
      <c r="P916" s="1692"/>
      <c r="Q916" s="1692"/>
      <c r="R916" s="1692"/>
      <c r="S916" s="1692"/>
      <c r="T916" s="1716"/>
      <c r="U916" s="1691"/>
      <c r="V916" s="1692"/>
      <c r="W916" s="1692"/>
      <c r="X916" s="1692"/>
      <c r="Y916" s="1692"/>
      <c r="Z916" s="1692"/>
      <c r="AA916" s="1082"/>
      <c r="AB916" s="2"/>
      <c r="AC916" s="2"/>
      <c r="AD916" s="2"/>
      <c r="AE916" s="2"/>
      <c r="AF916" s="1171"/>
      <c r="AZ916" s="2"/>
      <c r="BA916" s="2"/>
      <c r="BB916" s="2"/>
      <c r="BC916" s="2"/>
    </row>
    <row r="917" spans="1:58" ht="13" customHeight="1">
      <c r="B917" s="1"/>
      <c r="F917" s="1693"/>
      <c r="G917" s="1626"/>
      <c r="H917" s="1626"/>
      <c r="I917" s="1626"/>
      <c r="J917" s="1626"/>
      <c r="K917" s="1626"/>
      <c r="L917" s="1626"/>
      <c r="M917" s="1626"/>
      <c r="N917" s="1626"/>
      <c r="O917" s="1626"/>
      <c r="P917" s="1626"/>
      <c r="Q917" s="1626"/>
      <c r="R917" s="1626"/>
      <c r="S917" s="1626"/>
      <c r="T917" s="1627"/>
      <c r="U917" s="1693"/>
      <c r="V917" s="1626"/>
      <c r="W917" s="1626"/>
      <c r="X917" s="1626"/>
      <c r="Y917" s="1626"/>
      <c r="Z917" s="1626"/>
      <c r="AA917" s="709"/>
      <c r="AB917" s="1588" t="s">
        <v>1621</v>
      </c>
      <c r="AC917" s="1588"/>
      <c r="AD917" s="1588"/>
      <c r="AE917" s="1588"/>
      <c r="AF917" s="1172"/>
      <c r="AZ917" s="2"/>
      <c r="BA917" s="2"/>
      <c r="BB917" s="2"/>
      <c r="BC917" s="2"/>
    </row>
    <row r="918" spans="1:58" ht="13" customHeight="1">
      <c r="B918" s="1"/>
      <c r="F918" s="1083" t="s">
        <v>1622</v>
      </c>
      <c r="G918" s="32"/>
      <c r="H918" s="32"/>
      <c r="I918" s="32"/>
      <c r="J918" s="32"/>
      <c r="K918" s="32"/>
      <c r="L918" s="32"/>
      <c r="M918" s="32"/>
      <c r="N918" s="32"/>
      <c r="O918" s="32"/>
      <c r="P918" s="32"/>
      <c r="Q918" s="32"/>
      <c r="R918" s="32"/>
      <c r="S918" s="32"/>
      <c r="T918" s="33"/>
      <c r="U918" s="1581" t="s">
        <v>847</v>
      </c>
      <c r="V918" s="1362"/>
      <c r="W918" s="1362"/>
      <c r="X918" s="1362"/>
      <c r="Y918" s="1362"/>
      <c r="Z918" s="1363"/>
      <c r="AA918" s="1582">
        <f>+AM554</f>
        <v>19904951</v>
      </c>
      <c r="AB918" s="1481"/>
      <c r="AC918" s="1481"/>
      <c r="AD918" s="1481"/>
      <c r="AE918" s="1481"/>
      <c r="AF918" s="1583"/>
      <c r="AZ918" s="2"/>
      <c r="BA918" s="2"/>
      <c r="BB918" s="2"/>
      <c r="BC918" s="2"/>
    </row>
    <row r="919" spans="1:58" ht="13" customHeight="1">
      <c r="B919" s="1"/>
      <c r="F919" s="1090" t="s">
        <v>1623</v>
      </c>
      <c r="G919" s="32"/>
      <c r="H919" s="32"/>
      <c r="I919" s="32"/>
      <c r="J919" s="32"/>
      <c r="K919" s="32"/>
      <c r="L919" s="32"/>
      <c r="M919" s="32"/>
      <c r="N919" s="32"/>
      <c r="O919" s="32"/>
      <c r="P919" s="32"/>
      <c r="Q919" s="32"/>
      <c r="R919" s="32"/>
      <c r="S919" s="32"/>
      <c r="T919" s="33"/>
      <c r="U919" s="1581" t="s">
        <v>847</v>
      </c>
      <c r="V919" s="1362"/>
      <c r="W919" s="1362"/>
      <c r="X919" s="1362"/>
      <c r="Y919" s="1362"/>
      <c r="Z919" s="1363"/>
      <c r="AA919" s="1582">
        <f>+AM555</f>
        <v>4023604</v>
      </c>
      <c r="AB919" s="1481"/>
      <c r="AC919" s="1481"/>
      <c r="AD919" s="1481"/>
      <c r="AE919" s="1481"/>
      <c r="AF919" s="1583"/>
      <c r="AZ919" s="2"/>
      <c r="BA919" s="2"/>
      <c r="BB919" s="2"/>
      <c r="BC919" s="2"/>
    </row>
    <row r="920" spans="1:58" ht="13" customHeight="1">
      <c r="F920" s="1083" t="s">
        <v>1624</v>
      </c>
      <c r="G920" s="4"/>
      <c r="H920" s="4"/>
      <c r="I920" s="4"/>
      <c r="J920" s="4"/>
      <c r="K920" s="4"/>
      <c r="L920" s="4"/>
      <c r="M920" s="4"/>
      <c r="N920" s="4"/>
      <c r="O920" s="4"/>
      <c r="P920" s="4"/>
      <c r="Q920" s="4"/>
      <c r="R920" s="4"/>
      <c r="S920" s="4"/>
      <c r="T920" s="1084"/>
      <c r="U920" s="1581" t="s">
        <v>800</v>
      </c>
      <c r="V920" s="1362"/>
      <c r="W920" s="1362"/>
      <c r="X920" s="1362"/>
      <c r="Y920" s="1362"/>
      <c r="Z920" s="1363"/>
      <c r="AA920" s="1582"/>
      <c r="AB920" s="1481"/>
      <c r="AC920" s="1481"/>
      <c r="AD920" s="1481"/>
      <c r="AE920" s="1481"/>
      <c r="AF920" s="1583"/>
      <c r="AZ920" s="2"/>
      <c r="BA920" s="2"/>
      <c r="BB920" s="2"/>
      <c r="BC920" s="2"/>
    </row>
    <row r="921" spans="1:58" ht="13" customHeight="1">
      <c r="F921" s="1083" t="s">
        <v>1625</v>
      </c>
      <c r="G921" s="4"/>
      <c r="H921" s="4"/>
      <c r="I921" s="4"/>
      <c r="J921" s="4"/>
      <c r="K921" s="4"/>
      <c r="L921" s="4"/>
      <c r="M921" s="4"/>
      <c r="N921" s="4"/>
      <c r="O921" s="4"/>
      <c r="P921" s="4"/>
      <c r="Q921" s="4"/>
      <c r="R921" s="4"/>
      <c r="S921" s="4"/>
      <c r="T921" s="1084"/>
      <c r="U921" s="1581" t="s">
        <v>800</v>
      </c>
      <c r="V921" s="1362"/>
      <c r="W921" s="1362"/>
      <c r="X921" s="1362"/>
      <c r="Y921" s="1362"/>
      <c r="Z921" s="1363"/>
      <c r="AA921" s="1582"/>
      <c r="AB921" s="1481"/>
      <c r="AC921" s="1481"/>
      <c r="AD921" s="1481"/>
      <c r="AE921" s="1481"/>
      <c r="AF921" s="1583"/>
      <c r="AZ921" s="2"/>
      <c r="BA921" s="2"/>
      <c r="BB921" s="2"/>
      <c r="BC921" s="2"/>
    </row>
    <row r="922" spans="1:58" ht="13" customHeight="1">
      <c r="F922" s="1090" t="s">
        <v>1626</v>
      </c>
      <c r="G922" s="4"/>
      <c r="H922" s="4"/>
      <c r="I922" s="4"/>
      <c r="J922" s="4"/>
      <c r="K922" s="4"/>
      <c r="L922" s="4"/>
      <c r="M922" s="4"/>
      <c r="N922" s="4"/>
      <c r="O922" s="4"/>
      <c r="P922" s="4"/>
      <c r="Q922" s="4"/>
      <c r="R922" s="4"/>
      <c r="S922" s="4"/>
      <c r="T922" s="1084"/>
      <c r="U922" s="1581" t="s">
        <v>800</v>
      </c>
      <c r="V922" s="1362"/>
      <c r="W922" s="1362"/>
      <c r="X922" s="1362"/>
      <c r="Y922" s="1362"/>
      <c r="Z922" s="1363"/>
      <c r="AA922" s="1582"/>
      <c r="AB922" s="1481"/>
      <c r="AC922" s="1481"/>
      <c r="AD922" s="1481"/>
      <c r="AE922" s="1481"/>
      <c r="AF922" s="1583"/>
      <c r="AZ922" s="2"/>
      <c r="BA922" s="2"/>
      <c r="BB922" s="2"/>
      <c r="BC922" s="2"/>
    </row>
    <row r="923" spans="1:58" ht="13" customHeight="1">
      <c r="F923" s="1090" t="s">
        <v>1627</v>
      </c>
      <c r="G923" s="4"/>
      <c r="H923" s="4"/>
      <c r="I923" s="4"/>
      <c r="J923" s="4"/>
      <c r="K923" s="4"/>
      <c r="L923" s="4"/>
      <c r="M923" s="4"/>
      <c r="N923" s="4"/>
      <c r="O923" s="4"/>
      <c r="P923" s="4"/>
      <c r="Q923" s="4"/>
      <c r="R923" s="4"/>
      <c r="S923" s="4"/>
      <c r="T923" s="1084"/>
      <c r="U923" s="1581" t="s">
        <v>800</v>
      </c>
      <c r="V923" s="1362"/>
      <c r="W923" s="1362"/>
      <c r="X923" s="1362"/>
      <c r="Y923" s="1362"/>
      <c r="Z923" s="1363"/>
      <c r="AA923" s="1582"/>
      <c r="AB923" s="1481"/>
      <c r="AC923" s="1481"/>
      <c r="AD923" s="1481"/>
      <c r="AE923" s="1481"/>
      <c r="AF923" s="1583"/>
      <c r="AZ923" s="2"/>
      <c r="BA923" s="2"/>
      <c r="BB923" s="2"/>
      <c r="BC923" s="2"/>
    </row>
    <row r="924" spans="1:58" ht="13" customHeight="1">
      <c r="F924" s="1090" t="s">
        <v>1628</v>
      </c>
      <c r="G924" s="4"/>
      <c r="H924" s="4"/>
      <c r="I924" s="4"/>
      <c r="J924" s="4"/>
      <c r="K924" s="4"/>
      <c r="L924" s="4"/>
      <c r="M924" s="4"/>
      <c r="N924" s="4"/>
      <c r="O924" s="4"/>
      <c r="P924" s="4"/>
      <c r="Q924" s="4"/>
      <c r="R924" s="4"/>
      <c r="S924" s="4"/>
      <c r="T924" s="1084"/>
      <c r="U924" s="1581" t="s">
        <v>800</v>
      </c>
      <c r="V924" s="1362"/>
      <c r="W924" s="1362"/>
      <c r="X924" s="1362"/>
      <c r="Y924" s="1362"/>
      <c r="Z924" s="1363"/>
      <c r="AA924" s="1582"/>
      <c r="AB924" s="1481"/>
      <c r="AC924" s="1481"/>
      <c r="AD924" s="1481"/>
      <c r="AE924" s="1481"/>
      <c r="AF924" s="1583"/>
      <c r="AZ924" s="2"/>
      <c r="BA924" s="2"/>
      <c r="BB924" s="2"/>
      <c r="BC924" s="2"/>
    </row>
    <row r="925" spans="1:58" ht="13" customHeight="1">
      <c r="F925" s="1083" t="s">
        <v>1629</v>
      </c>
      <c r="G925" s="4"/>
      <c r="H925" s="4"/>
      <c r="I925" s="4"/>
      <c r="J925" s="4"/>
      <c r="K925" s="4"/>
      <c r="L925" s="4"/>
      <c r="M925" s="4"/>
      <c r="N925" s="4"/>
      <c r="O925" s="4"/>
      <c r="P925" s="4"/>
      <c r="Q925" s="4"/>
      <c r="R925" s="4"/>
      <c r="S925" s="4"/>
      <c r="T925" s="1084"/>
      <c r="U925" s="1581" t="s">
        <v>800</v>
      </c>
      <c r="V925" s="1362"/>
      <c r="W925" s="1362"/>
      <c r="X925" s="1362"/>
      <c r="Y925" s="1362"/>
      <c r="Z925" s="1363"/>
      <c r="AA925" s="1582"/>
      <c r="AB925" s="1481"/>
      <c r="AC925" s="1481"/>
      <c r="AD925" s="1481"/>
      <c r="AE925" s="1481"/>
      <c r="AF925" s="1583"/>
      <c r="AZ925" s="2"/>
      <c r="BA925" s="2"/>
      <c r="BB925" s="2"/>
      <c r="BC925" s="2"/>
    </row>
    <row r="926" spans="1:58" ht="13" customHeight="1">
      <c r="F926" s="1584" t="s">
        <v>1630</v>
      </c>
      <c r="G926" s="1585"/>
      <c r="H926" s="1585"/>
      <c r="I926" s="1585"/>
      <c r="J926" s="1585"/>
      <c r="K926" s="1585"/>
      <c r="L926" s="1585"/>
      <c r="M926" s="1585"/>
      <c r="N926" s="1585"/>
      <c r="O926" s="1585"/>
      <c r="P926" s="1585"/>
      <c r="Q926" s="1585"/>
      <c r="R926" s="1585"/>
      <c r="S926" s="1585"/>
      <c r="T926" s="1586"/>
      <c r="U926" s="1581" t="s">
        <v>800</v>
      </c>
      <c r="V926" s="1362"/>
      <c r="W926" s="1362"/>
      <c r="X926" s="1362"/>
      <c r="Y926" s="1362"/>
      <c r="Z926" s="1363"/>
      <c r="AA926" s="1582"/>
      <c r="AB926" s="1481"/>
      <c r="AC926" s="1481"/>
      <c r="AD926" s="1481"/>
      <c r="AE926" s="1481"/>
      <c r="AF926" s="1583"/>
      <c r="AZ926" s="2"/>
      <c r="BA926" s="2"/>
      <c r="BB926" s="2"/>
      <c r="BC926" s="2"/>
    </row>
    <row r="927" spans="1:58" ht="13" customHeight="1">
      <c r="F927" s="1584" t="s">
        <v>1631</v>
      </c>
      <c r="G927" s="1585"/>
      <c r="H927" s="1585"/>
      <c r="I927" s="1585"/>
      <c r="J927" s="1585"/>
      <c r="K927" s="1585"/>
      <c r="L927" s="1585"/>
      <c r="M927" s="1585"/>
      <c r="N927" s="1585"/>
      <c r="O927" s="1585"/>
      <c r="P927" s="1585"/>
      <c r="Q927" s="1585"/>
      <c r="R927" s="1585"/>
      <c r="S927" s="1585"/>
      <c r="T927" s="1586"/>
      <c r="U927" s="1581" t="s">
        <v>800</v>
      </c>
      <c r="V927" s="1362"/>
      <c r="W927" s="1362"/>
      <c r="X927" s="1362"/>
      <c r="Y927" s="1362"/>
      <c r="Z927" s="1363"/>
      <c r="AA927" s="1582"/>
      <c r="AB927" s="1481"/>
      <c r="AC927" s="1481"/>
      <c r="AD927" s="1481"/>
      <c r="AE927" s="1481"/>
      <c r="AF927" s="1583"/>
      <c r="AU927" s="1"/>
      <c r="AZ927" s="2"/>
      <c r="BA927" s="2"/>
      <c r="BB927" s="2"/>
      <c r="BC927" s="2"/>
    </row>
    <row r="928" spans="1:58" ht="13" customHeight="1">
      <c r="F928" s="1584" t="s">
        <v>1632</v>
      </c>
      <c r="G928" s="1585"/>
      <c r="H928" s="1585"/>
      <c r="I928" s="1585"/>
      <c r="J928" s="1585"/>
      <c r="K928" s="1585"/>
      <c r="L928" s="1585"/>
      <c r="M928" s="1585"/>
      <c r="N928" s="1585"/>
      <c r="O928" s="1585"/>
      <c r="P928" s="1585"/>
      <c r="Q928" s="1585"/>
      <c r="R928" s="1585"/>
      <c r="S928" s="1585"/>
      <c r="T928" s="1586"/>
      <c r="U928" s="1581" t="s">
        <v>800</v>
      </c>
      <c r="V928" s="1362"/>
      <c r="W928" s="1362"/>
      <c r="X928" s="1362"/>
      <c r="Y928" s="1362"/>
      <c r="Z928" s="1363"/>
      <c r="AA928" s="1582"/>
      <c r="AB928" s="1481"/>
      <c r="AC928" s="1481"/>
      <c r="AD928" s="1481"/>
      <c r="AE928" s="1481"/>
      <c r="AF928" s="1583"/>
      <c r="AU928" s="1"/>
      <c r="AZ928" s="2"/>
      <c r="BA928" s="2"/>
      <c r="BB928" s="2"/>
      <c r="BC928" s="2"/>
    </row>
    <row r="929" spans="6:55" ht="13" customHeight="1">
      <c r="F929" s="1584" t="s">
        <v>1633</v>
      </c>
      <c r="G929" s="1585"/>
      <c r="H929" s="1585"/>
      <c r="I929" s="1585"/>
      <c r="J929" s="1585"/>
      <c r="K929" s="1585"/>
      <c r="L929" s="1585"/>
      <c r="M929" s="1585"/>
      <c r="N929" s="1585"/>
      <c r="O929" s="1585"/>
      <c r="P929" s="1585"/>
      <c r="Q929" s="1585"/>
      <c r="R929" s="1585"/>
      <c r="S929" s="1585"/>
      <c r="T929" s="1586"/>
      <c r="U929" s="1581" t="s">
        <v>800</v>
      </c>
      <c r="V929" s="1362"/>
      <c r="W929" s="1362"/>
      <c r="X929" s="1362"/>
      <c r="Y929" s="1362"/>
      <c r="Z929" s="1363"/>
      <c r="AA929" s="1582"/>
      <c r="AB929" s="1481"/>
      <c r="AC929" s="1481"/>
      <c r="AD929" s="1481"/>
      <c r="AE929" s="1481"/>
      <c r="AF929" s="1583"/>
      <c r="AU929" s="1"/>
      <c r="AZ929" s="2"/>
      <c r="BA929" s="2"/>
      <c r="BB929" s="2"/>
      <c r="BC929" s="2"/>
    </row>
    <row r="930" spans="6:55" ht="13" customHeight="1">
      <c r="F930" s="1584" t="s">
        <v>1634</v>
      </c>
      <c r="G930" s="1585"/>
      <c r="H930" s="1585"/>
      <c r="I930" s="1585"/>
      <c r="J930" s="1585"/>
      <c r="K930" s="1585"/>
      <c r="L930" s="1585"/>
      <c r="M930" s="1585"/>
      <c r="N930" s="1585"/>
      <c r="O930" s="1585"/>
      <c r="P930" s="1585"/>
      <c r="Q930" s="1585"/>
      <c r="R930" s="1585"/>
      <c r="S930" s="1585"/>
      <c r="T930" s="1586"/>
      <c r="U930" s="1581" t="s">
        <v>800</v>
      </c>
      <c r="V930" s="1362"/>
      <c r="W930" s="1362"/>
      <c r="X930" s="1362"/>
      <c r="Y930" s="1362"/>
      <c r="Z930" s="1363"/>
      <c r="AA930" s="1582"/>
      <c r="AB930" s="1481"/>
      <c r="AC930" s="1481"/>
      <c r="AD930" s="1481"/>
      <c r="AE930" s="1481"/>
      <c r="AF930" s="1583"/>
      <c r="AU930" s="1"/>
      <c r="AZ930" s="2"/>
      <c r="BA930" s="2"/>
      <c r="BB930" s="2"/>
      <c r="BC930" s="2"/>
    </row>
    <row r="931" spans="6:55" ht="13" customHeight="1">
      <c r="F931" s="1584" t="s">
        <v>1635</v>
      </c>
      <c r="G931" s="1585"/>
      <c r="H931" s="1585"/>
      <c r="I931" s="1585"/>
      <c r="J931" s="1585"/>
      <c r="K931" s="1585"/>
      <c r="L931" s="1585"/>
      <c r="M931" s="1585"/>
      <c r="N931" s="1585"/>
      <c r="O931" s="1585"/>
      <c r="P931" s="1585"/>
      <c r="Q931" s="1585"/>
      <c r="R931" s="1585"/>
      <c r="S931" s="1585"/>
      <c r="T931" s="1586"/>
      <c r="U931" s="1581" t="s">
        <v>800</v>
      </c>
      <c r="V931" s="1362"/>
      <c r="W931" s="1362"/>
      <c r="X931" s="1362"/>
      <c r="Y931" s="1362"/>
      <c r="Z931" s="1363"/>
      <c r="AA931" s="1582"/>
      <c r="AB931" s="1481"/>
      <c r="AC931" s="1481"/>
      <c r="AD931" s="1481"/>
      <c r="AE931" s="1481"/>
      <c r="AF931" s="1583"/>
      <c r="AU931" s="1"/>
      <c r="AZ931" s="2"/>
      <c r="BA931" s="2"/>
      <c r="BB931" s="2"/>
      <c r="BC931" s="2"/>
    </row>
    <row r="932" spans="6:55" ht="13" customHeight="1">
      <c r="F932" s="1584" t="s">
        <v>1636</v>
      </c>
      <c r="G932" s="1585"/>
      <c r="H932" s="1585"/>
      <c r="I932" s="1585"/>
      <c r="J932" s="1585"/>
      <c r="K932" s="1585"/>
      <c r="L932" s="1585"/>
      <c r="M932" s="1585"/>
      <c r="N932" s="1585"/>
      <c r="O932" s="1585"/>
      <c r="P932" s="1585"/>
      <c r="Q932" s="1585"/>
      <c r="R932" s="1585"/>
      <c r="S932" s="1585"/>
      <c r="T932" s="1586"/>
      <c r="U932" s="1581" t="s">
        <v>800</v>
      </c>
      <c r="V932" s="1362"/>
      <c r="W932" s="1362"/>
      <c r="X932" s="1362"/>
      <c r="Y932" s="1362"/>
      <c r="Z932" s="1363"/>
      <c r="AA932" s="1582"/>
      <c r="AB932" s="1481"/>
      <c r="AC932" s="1481"/>
      <c r="AD932" s="1481"/>
      <c r="AE932" s="1481"/>
      <c r="AF932" s="1583"/>
      <c r="AZ932" s="23"/>
      <c r="BA932" s="23"/>
    </row>
    <row r="933" spans="6:55" ht="13" customHeight="1">
      <c r="F933" s="101" t="s">
        <v>1637</v>
      </c>
      <c r="G933" s="4"/>
      <c r="H933" s="4"/>
      <c r="I933" s="4"/>
      <c r="J933" s="4"/>
      <c r="K933" s="4"/>
      <c r="L933" s="4"/>
      <c r="M933" s="4"/>
      <c r="N933" s="4"/>
      <c r="O933" s="4"/>
      <c r="P933" s="4"/>
      <c r="Q933" s="4"/>
      <c r="R933" s="4"/>
      <c r="S933" s="4"/>
      <c r="T933" s="1084"/>
      <c r="U933" s="1581" t="s">
        <v>800</v>
      </c>
      <c r="V933" s="1362"/>
      <c r="W933" s="1362"/>
      <c r="X933" s="1362"/>
      <c r="Y933" s="1362"/>
      <c r="Z933" s="1363"/>
      <c r="AA933" s="1582"/>
      <c r="AB933" s="1481"/>
      <c r="AC933" s="1481"/>
      <c r="AD933" s="1481"/>
      <c r="AE933" s="1481"/>
      <c r="AF933" s="1583"/>
    </row>
    <row r="934" spans="6:55" ht="13" customHeight="1">
      <c r="F934" s="1090" t="s">
        <v>1638</v>
      </c>
      <c r="G934" s="4"/>
      <c r="H934" s="4"/>
      <c r="I934" s="4"/>
      <c r="J934" s="4"/>
      <c r="K934" s="4"/>
      <c r="L934" s="4"/>
      <c r="M934" s="4"/>
      <c r="N934" s="4"/>
      <c r="O934" s="4"/>
      <c r="P934" s="4"/>
      <c r="Q934" s="4"/>
      <c r="R934" s="4"/>
      <c r="S934" s="4"/>
      <c r="T934" s="1084"/>
      <c r="U934" s="1581" t="s">
        <v>800</v>
      </c>
      <c r="V934" s="1362"/>
      <c r="W934" s="1362"/>
      <c r="X934" s="1362"/>
      <c r="Y934" s="1362"/>
      <c r="Z934" s="1363"/>
      <c r="AA934" s="1582"/>
      <c r="AB934" s="1481"/>
      <c r="AC934" s="1481"/>
      <c r="AD934" s="1481"/>
      <c r="AE934" s="1481"/>
      <c r="AF934" s="1583"/>
      <c r="AZ934" s="23"/>
      <c r="BA934" s="11"/>
    </row>
    <row r="935" spans="6:55" ht="13" customHeight="1">
      <c r="F935" s="1090" t="s">
        <v>1639</v>
      </c>
      <c r="G935" s="4"/>
      <c r="H935" s="4"/>
      <c r="I935" s="4"/>
      <c r="J935" s="4"/>
      <c r="K935" s="4"/>
      <c r="L935" s="4"/>
      <c r="M935" s="4"/>
      <c r="N935" s="4"/>
      <c r="O935" s="4"/>
      <c r="P935" s="4"/>
      <c r="Q935" s="4"/>
      <c r="R935" s="4"/>
      <c r="S935" s="4"/>
      <c r="T935" s="1084"/>
      <c r="U935" s="1581" t="s">
        <v>800</v>
      </c>
      <c r="V935" s="1362"/>
      <c r="W935" s="1362"/>
      <c r="X935" s="1362"/>
      <c r="Y935" s="1362"/>
      <c r="Z935" s="1363"/>
      <c r="AA935" s="1582"/>
      <c r="AB935" s="1481"/>
      <c r="AC935" s="1481"/>
      <c r="AD935" s="1481"/>
      <c r="AE935" s="1481"/>
      <c r="AF935" s="1583"/>
      <c r="AZ935" s="23"/>
      <c r="BA935" s="11"/>
    </row>
    <row r="936" spans="6:55" ht="13" customHeight="1">
      <c r="F936" s="1578" t="s">
        <v>1640</v>
      </c>
      <c r="G936" s="1579"/>
      <c r="H936" s="1579"/>
      <c r="I936" s="1579"/>
      <c r="J936" s="1579"/>
      <c r="K936" s="1579"/>
      <c r="L936" s="1579"/>
      <c r="M936" s="1579"/>
      <c r="N936" s="1579"/>
      <c r="O936" s="1579"/>
      <c r="P936" s="1579"/>
      <c r="Q936" s="1579"/>
      <c r="R936" s="1579"/>
      <c r="S936" s="1579"/>
      <c r="T936" s="1580"/>
      <c r="U936" s="1581" t="s">
        <v>800</v>
      </c>
      <c r="V936" s="1362"/>
      <c r="W936" s="1362"/>
      <c r="X936" s="1362"/>
      <c r="Y936" s="1362"/>
      <c r="Z936" s="1363"/>
      <c r="AA936" s="1582"/>
      <c r="AB936" s="1481"/>
      <c r="AC936" s="1481"/>
      <c r="AD936" s="1481"/>
      <c r="AE936" s="1481"/>
      <c r="AF936" s="1583"/>
      <c r="AZ936" s="23"/>
      <c r="BA936" s="11"/>
    </row>
    <row r="937" spans="6:55" ht="13" customHeight="1">
      <c r="F937" s="1578" t="s">
        <v>1641</v>
      </c>
      <c r="G937" s="1579"/>
      <c r="H937" s="1579"/>
      <c r="I937" s="1579"/>
      <c r="J937" s="1579"/>
      <c r="K937" s="1579"/>
      <c r="L937" s="1579"/>
      <c r="M937" s="1579"/>
      <c r="N937" s="1579"/>
      <c r="O937" s="1579"/>
      <c r="P937" s="1579"/>
      <c r="Q937" s="1579"/>
      <c r="R937" s="1579"/>
      <c r="S937" s="1579"/>
      <c r="T937" s="1580"/>
      <c r="U937" s="1581" t="s">
        <v>800</v>
      </c>
      <c r="V937" s="1362"/>
      <c r="W937" s="1362"/>
      <c r="X937" s="1362"/>
      <c r="Y937" s="1362"/>
      <c r="Z937" s="1363"/>
      <c r="AA937" s="1582"/>
      <c r="AB937" s="1481"/>
      <c r="AC937" s="1481"/>
      <c r="AD937" s="1481"/>
      <c r="AE937" s="1481"/>
      <c r="AF937" s="1583"/>
      <c r="AZ937" s="23"/>
      <c r="BA937" s="23"/>
    </row>
    <row r="938" spans="6:55" ht="13" customHeight="1">
      <c r="F938" s="1584" t="s">
        <v>1642</v>
      </c>
      <c r="G938" s="1585"/>
      <c r="H938" s="1585"/>
      <c r="I938" s="1585"/>
      <c r="J938" s="1585"/>
      <c r="K938" s="1585"/>
      <c r="L938" s="1585"/>
      <c r="M938" s="1585"/>
      <c r="N938" s="1585"/>
      <c r="O938" s="1585"/>
      <c r="P938" s="1585"/>
      <c r="Q938" s="1585"/>
      <c r="R938" s="1585"/>
      <c r="S938" s="1585"/>
      <c r="T938" s="1586"/>
      <c r="U938" s="1581" t="s">
        <v>800</v>
      </c>
      <c r="V938" s="1362"/>
      <c r="W938" s="1362"/>
      <c r="X938" s="1362"/>
      <c r="Y938" s="1362"/>
      <c r="Z938" s="1363"/>
      <c r="AA938" s="1582"/>
      <c r="AB938" s="1481"/>
      <c r="AC938" s="1481"/>
      <c r="AD938" s="1481"/>
      <c r="AE938" s="1481"/>
      <c r="AF938" s="1583"/>
      <c r="AZ938" s="23"/>
      <c r="BA938" s="23"/>
    </row>
    <row r="939" spans="6:55" ht="13" customHeight="1">
      <c r="F939" s="1584" t="s">
        <v>1643</v>
      </c>
      <c r="G939" s="1585"/>
      <c r="H939" s="1585"/>
      <c r="I939" s="1585"/>
      <c r="J939" s="1585"/>
      <c r="K939" s="1585"/>
      <c r="L939" s="1585"/>
      <c r="M939" s="1585"/>
      <c r="N939" s="1585"/>
      <c r="O939" s="1585"/>
      <c r="P939" s="1585"/>
      <c r="Q939" s="1585"/>
      <c r="R939" s="1585"/>
      <c r="S939" s="1585"/>
      <c r="T939" s="1586"/>
      <c r="U939" s="1581" t="s">
        <v>800</v>
      </c>
      <c r="V939" s="1362"/>
      <c r="W939" s="1362"/>
      <c r="X939" s="1362"/>
      <c r="Y939" s="1362"/>
      <c r="Z939" s="1363"/>
      <c r="AA939" s="1582"/>
      <c r="AB939" s="1481"/>
      <c r="AC939" s="1481"/>
      <c r="AD939" s="1481"/>
      <c r="AE939" s="1481"/>
      <c r="AF939" s="1583"/>
      <c r="AZ939" s="23"/>
      <c r="BA939" s="23"/>
    </row>
    <row r="940" spans="6:55" ht="13" customHeight="1">
      <c r="F940" s="1584" t="s">
        <v>1644</v>
      </c>
      <c r="G940" s="1585"/>
      <c r="H940" s="1585"/>
      <c r="I940" s="1585"/>
      <c r="J940" s="1585"/>
      <c r="K940" s="1585"/>
      <c r="L940" s="1585"/>
      <c r="M940" s="1585"/>
      <c r="N940" s="1585"/>
      <c r="O940" s="1585"/>
      <c r="P940" s="1585"/>
      <c r="Q940" s="1585"/>
      <c r="R940" s="1585"/>
      <c r="S940" s="1585"/>
      <c r="T940" s="1586"/>
      <c r="U940" s="1581" t="s">
        <v>800</v>
      </c>
      <c r="V940" s="1362"/>
      <c r="W940" s="1362"/>
      <c r="X940" s="1362"/>
      <c r="Y940" s="1362"/>
      <c r="Z940" s="1363"/>
      <c r="AA940" s="1582"/>
      <c r="AB940" s="1481"/>
      <c r="AC940" s="1481"/>
      <c r="AD940" s="1481"/>
      <c r="AE940" s="1481"/>
      <c r="AF940" s="1583"/>
      <c r="AZ940" s="2"/>
      <c r="BA940" s="2"/>
      <c r="BB940" s="11"/>
      <c r="BC940" s="11"/>
    </row>
    <row r="941" spans="6:55" ht="13" customHeight="1">
      <c r="F941" s="1090" t="s">
        <v>1645</v>
      </c>
      <c r="G941" s="4"/>
      <c r="H941" s="4"/>
      <c r="I941" s="4"/>
      <c r="J941" s="4"/>
      <c r="K941" s="4"/>
      <c r="L941" s="4"/>
      <c r="M941" s="4"/>
      <c r="N941" s="4"/>
      <c r="O941" s="4"/>
      <c r="P941" s="4"/>
      <c r="Q941" s="4"/>
      <c r="R941" s="4"/>
      <c r="S941" s="4"/>
      <c r="T941" s="1084"/>
      <c r="U941" s="1581" t="s">
        <v>847</v>
      </c>
      <c r="V941" s="1362"/>
      <c r="W941" s="1362"/>
      <c r="X941" s="1362"/>
      <c r="Y941" s="1362"/>
      <c r="Z941" s="1363"/>
      <c r="AA941" s="1582">
        <f>+AO630</f>
        <v>5713291</v>
      </c>
      <c r="AB941" s="1481"/>
      <c r="AC941" s="1481"/>
      <c r="AD941" s="1481"/>
      <c r="AE941" s="1481"/>
      <c r="AF941" s="1583"/>
      <c r="AZ941" s="2"/>
      <c r="BA941" s="2"/>
      <c r="BB941" s="11"/>
      <c r="BC941" s="11"/>
    </row>
    <row r="942" spans="6:55" ht="13" customHeight="1">
      <c r="F942" s="1578" t="s">
        <v>1646</v>
      </c>
      <c r="G942" s="1579"/>
      <c r="H942" s="1579"/>
      <c r="I942" s="1579"/>
      <c r="J942" s="1579"/>
      <c r="K942" s="1579"/>
      <c r="L942" s="1579"/>
      <c r="M942" s="1579"/>
      <c r="N942" s="1579"/>
      <c r="O942" s="1579"/>
      <c r="P942" s="1579"/>
      <c r="Q942" s="1579"/>
      <c r="R942" s="1579"/>
      <c r="S942" s="1579"/>
      <c r="T942" s="1580"/>
      <c r="U942" s="1581" t="s">
        <v>800</v>
      </c>
      <c r="V942" s="1362"/>
      <c r="W942" s="1362"/>
      <c r="X942" s="1362"/>
      <c r="Y942" s="1362"/>
      <c r="Z942" s="1363"/>
      <c r="AA942" s="1582"/>
      <c r="AB942" s="1481"/>
      <c r="AC942" s="1481"/>
      <c r="AD942" s="1481"/>
      <c r="AE942" s="1481"/>
      <c r="AF942" s="1583"/>
      <c r="AZ942" s="2"/>
      <c r="BA942" s="2"/>
      <c r="BB942" s="2"/>
      <c r="BC942" s="2"/>
    </row>
    <row r="943" spans="6:55" ht="13" customHeight="1">
      <c r="F943" s="1090" t="s">
        <v>1647</v>
      </c>
      <c r="G943" s="4"/>
      <c r="H943" s="4"/>
      <c r="I943" s="4"/>
      <c r="J943" s="4"/>
      <c r="K943" s="4"/>
      <c r="L943" s="4"/>
      <c r="M943" s="4"/>
      <c r="N943" s="4"/>
      <c r="O943" s="4"/>
      <c r="P943" s="4"/>
      <c r="Q943" s="4"/>
      <c r="R943" s="4"/>
      <c r="S943" s="4"/>
      <c r="T943" s="1084"/>
      <c r="U943" s="1581" t="s">
        <v>800</v>
      </c>
      <c r="V943" s="1362"/>
      <c r="W943" s="1362"/>
      <c r="X943" s="1362"/>
      <c r="Y943" s="1362"/>
      <c r="Z943" s="1363"/>
      <c r="AA943" s="1582"/>
      <c r="AB943" s="1481"/>
      <c r="AC943" s="1481"/>
      <c r="AD943" s="1481"/>
      <c r="AE943" s="1481"/>
      <c r="AF943" s="1583"/>
      <c r="AZ943" s="2"/>
      <c r="BA943" s="2"/>
      <c r="BB943" s="2"/>
      <c r="BC943" s="2"/>
    </row>
    <row r="944" spans="6:55" ht="13" customHeight="1">
      <c r="F944" s="1578" t="s">
        <v>1648</v>
      </c>
      <c r="G944" s="1579"/>
      <c r="H944" s="1579"/>
      <c r="I944" s="1579"/>
      <c r="J944" s="1579"/>
      <c r="K944" s="1579"/>
      <c r="L944" s="1579"/>
      <c r="M944" s="1579"/>
      <c r="N944" s="1579"/>
      <c r="O944" s="1579"/>
      <c r="P944" s="1579"/>
      <c r="Q944" s="1579"/>
      <c r="R944" s="1579"/>
      <c r="S944" s="1579"/>
      <c r="T944" s="1580"/>
      <c r="U944" s="1581" t="s">
        <v>800</v>
      </c>
      <c r="V944" s="1362"/>
      <c r="W944" s="1362"/>
      <c r="X944" s="1362"/>
      <c r="Y944" s="1362"/>
      <c r="Z944" s="1363"/>
      <c r="AA944" s="1582"/>
      <c r="AB944" s="1481"/>
      <c r="AC944" s="1481"/>
      <c r="AD944" s="1481"/>
      <c r="AE944" s="1481"/>
      <c r="AF944" s="1583"/>
      <c r="AZ944" s="2"/>
      <c r="BA944" s="2"/>
      <c r="BB944" s="2"/>
      <c r="BC944" s="2"/>
    </row>
    <row r="945" spans="1:55" ht="13" customHeight="1">
      <c r="F945" s="1083" t="s">
        <v>1649</v>
      </c>
      <c r="G945" s="4"/>
      <c r="H945" s="4"/>
      <c r="I945" s="4"/>
      <c r="J945" s="4"/>
      <c r="K945" s="4"/>
      <c r="L945" s="4"/>
      <c r="M945" s="4"/>
      <c r="N945" s="4"/>
      <c r="O945" s="4"/>
      <c r="P945" s="1581" t="s">
        <v>695</v>
      </c>
      <c r="Q945" s="1362"/>
      <c r="R945" s="1362"/>
      <c r="S945" s="1362"/>
      <c r="T945" s="1363"/>
      <c r="U945" s="1581" t="s">
        <v>800</v>
      </c>
      <c r="V945" s="1362"/>
      <c r="W945" s="1362"/>
      <c r="X945" s="1362"/>
      <c r="Y945" s="1362"/>
      <c r="Z945" s="1363"/>
      <c r="AA945" s="1582"/>
      <c r="AB945" s="1481"/>
      <c r="AC945" s="1481"/>
      <c r="AD945" s="1481"/>
      <c r="AE945" s="1481"/>
      <c r="AF945" s="1583"/>
      <c r="AZ945" s="2"/>
      <c r="BA945" s="2"/>
      <c r="BB945" s="2"/>
      <c r="BC945" s="2"/>
    </row>
    <row r="946" spans="1:55" ht="13" customHeight="1">
      <c r="F946" s="1584" t="s">
        <v>1650</v>
      </c>
      <c r="G946" s="1585"/>
      <c r="H946" s="1586"/>
      <c r="I946" s="1560" t="s">
        <v>1378</v>
      </c>
      <c r="J946" s="1561"/>
      <c r="K946" s="1561"/>
      <c r="L946" s="1561"/>
      <c r="M946" s="1561"/>
      <c r="N946" s="1561"/>
      <c r="O946" s="1561"/>
      <c r="P946" s="1561"/>
      <c r="Q946" s="1561"/>
      <c r="R946" s="1561"/>
      <c r="S946" s="1561"/>
      <c r="T946" s="1562"/>
      <c r="U946" s="1581" t="s">
        <v>800</v>
      </c>
      <c r="V946" s="1362"/>
      <c r="W946" s="1362"/>
      <c r="X946" s="1362"/>
      <c r="Y946" s="1362"/>
      <c r="Z946" s="1363"/>
      <c r="AA946" s="1582"/>
      <c r="AB946" s="1481"/>
      <c r="AC946" s="1481"/>
      <c r="AD946" s="1481"/>
      <c r="AE946" s="1481"/>
      <c r="AF946" s="1583"/>
      <c r="AZ946" s="2"/>
      <c r="BA946" s="2"/>
      <c r="BB946" s="2"/>
      <c r="BC946" s="2"/>
    </row>
    <row r="947" spans="1:55" ht="13" customHeight="1">
      <c r="F947" s="1083" t="s">
        <v>1066</v>
      </c>
      <c r="G947" s="32"/>
      <c r="H947" s="32"/>
      <c r="I947" s="1560" t="str">
        <f>+C631</f>
        <v>Sponsor Loan - Homekey+</v>
      </c>
      <c r="J947" s="1561"/>
      <c r="K947" s="1561"/>
      <c r="L947" s="1561"/>
      <c r="M947" s="1561"/>
      <c r="N947" s="1561"/>
      <c r="O947" s="1561"/>
      <c r="P947" s="1561"/>
      <c r="Q947" s="1561"/>
      <c r="R947" s="1561"/>
      <c r="S947" s="1561"/>
      <c r="T947" s="1562"/>
      <c r="U947" s="1581" t="s">
        <v>847</v>
      </c>
      <c r="V947" s="1362"/>
      <c r="W947" s="1362"/>
      <c r="X947" s="1362"/>
      <c r="Y947" s="1362"/>
      <c r="Z947" s="1363"/>
      <c r="AA947" s="1582">
        <f>+AO631</f>
        <v>11250000</v>
      </c>
      <c r="AB947" s="1481"/>
      <c r="AC947" s="1481"/>
      <c r="AD947" s="1481"/>
      <c r="AE947" s="1481"/>
      <c r="AF947" s="1583"/>
      <c r="AZ947" s="2"/>
      <c r="BA947" s="2"/>
      <c r="BB947" s="2"/>
      <c r="BC947" s="2"/>
    </row>
    <row r="948" spans="1:55" ht="13" customHeight="1">
      <c r="F948" s="1083" t="s">
        <v>1651</v>
      </c>
      <c r="G948" s="32"/>
      <c r="H948" s="32"/>
      <c r="I948" s="1560" t="str">
        <f>+C556</f>
        <v>Sponsor Loan - Tulare County REAP</v>
      </c>
      <c r="J948" s="1561"/>
      <c r="K948" s="1561"/>
      <c r="L948" s="1561"/>
      <c r="M948" s="1561"/>
      <c r="N948" s="1561"/>
      <c r="O948" s="1561"/>
      <c r="P948" s="1561"/>
      <c r="Q948" s="1561"/>
      <c r="R948" s="1561"/>
      <c r="S948" s="1561"/>
      <c r="T948" s="1562"/>
      <c r="U948" s="1581" t="s">
        <v>847</v>
      </c>
      <c r="V948" s="1362"/>
      <c r="W948" s="1362"/>
      <c r="X948" s="1362"/>
      <c r="Y948" s="1362"/>
      <c r="Z948" s="1363"/>
      <c r="AA948" s="1582">
        <f>+AM556</f>
        <v>1369665</v>
      </c>
      <c r="AB948" s="1481"/>
      <c r="AC948" s="1481"/>
      <c r="AD948" s="1481"/>
      <c r="AE948" s="1481"/>
      <c r="AF948" s="1583"/>
      <c r="AV948" s="1"/>
      <c r="AW948" s="1"/>
      <c r="AX948" s="1"/>
      <c r="AY948" s="1"/>
      <c r="AZ948" s="2"/>
      <c r="BA948" s="2"/>
      <c r="BB948" s="2"/>
      <c r="BC948" s="2"/>
    </row>
    <row r="949" spans="1:55" ht="13" customHeight="1">
      <c r="F949" s="31" t="s">
        <v>233</v>
      </c>
      <c r="G949" s="32"/>
      <c r="H949" s="32"/>
      <c r="I949" s="1560" t="str">
        <f>+C632</f>
        <v>Sponsor Loan - AHP</v>
      </c>
      <c r="J949" s="1561"/>
      <c r="K949" s="1561"/>
      <c r="L949" s="1561"/>
      <c r="M949" s="1561"/>
      <c r="N949" s="1561"/>
      <c r="O949" s="1561"/>
      <c r="P949" s="1561"/>
      <c r="Q949" s="1561"/>
      <c r="R949" s="1561"/>
      <c r="S949" s="1561"/>
      <c r="T949" s="1562"/>
      <c r="U949" s="1581" t="s">
        <v>847</v>
      </c>
      <c r="V949" s="1362"/>
      <c r="W949" s="1362"/>
      <c r="X949" s="1362"/>
      <c r="Y949" s="1362"/>
      <c r="Z949" s="1363"/>
      <c r="AA949" s="1582">
        <f>+AO632</f>
        <v>1732699</v>
      </c>
      <c r="AB949" s="1481"/>
      <c r="AC949" s="1481"/>
      <c r="AD949" s="1481"/>
      <c r="AE949" s="1481"/>
      <c r="AF949" s="1583"/>
      <c r="AU949" s="1"/>
      <c r="AZ949" s="2"/>
      <c r="BA949" s="2"/>
      <c r="BB949" s="2"/>
      <c r="BC949" s="2"/>
    </row>
    <row r="950" spans="1:55" ht="13" customHeight="1">
      <c r="F950" s="31" t="s">
        <v>233</v>
      </c>
      <c r="G950" s="32"/>
      <c r="H950" s="32"/>
      <c r="I950" s="1560" t="s">
        <v>1378</v>
      </c>
      <c r="J950" s="1561"/>
      <c r="K950" s="1561"/>
      <c r="L950" s="1561"/>
      <c r="M950" s="1561"/>
      <c r="N950" s="1561"/>
      <c r="O950" s="1561"/>
      <c r="P950" s="1561"/>
      <c r="Q950" s="1561"/>
      <c r="R950" s="1561"/>
      <c r="S950" s="1561"/>
      <c r="T950" s="1562"/>
      <c r="U950" s="1581" t="s">
        <v>800</v>
      </c>
      <c r="V950" s="1362"/>
      <c r="W950" s="1362"/>
      <c r="X950" s="1362"/>
      <c r="Y950" s="1362"/>
      <c r="Z950" s="1363"/>
      <c r="AA950" s="1582"/>
      <c r="AB950" s="1481"/>
      <c r="AC950" s="1481"/>
      <c r="AD950" s="1481"/>
      <c r="AE950" s="1481"/>
      <c r="AF950" s="1583"/>
      <c r="AU950" s="1"/>
      <c r="AZ950" s="2"/>
      <c r="BA950" s="2"/>
      <c r="BB950" s="2"/>
      <c r="BC950" s="2"/>
    </row>
    <row r="951" spans="1:55" ht="13" customHeight="1">
      <c r="AU951" s="1"/>
      <c r="AZ951" s="2"/>
      <c r="BA951" s="2"/>
      <c r="BB951" s="2"/>
      <c r="BC951" s="2"/>
    </row>
    <row r="952" spans="1:55" ht="13" customHeight="1">
      <c r="A952" s="1" t="s">
        <v>913</v>
      </c>
      <c r="C952" s="1" t="s">
        <v>247</v>
      </c>
      <c r="AZ952" s="2"/>
      <c r="BA952" s="2"/>
      <c r="BB952" s="2"/>
      <c r="BC952" s="2"/>
    </row>
    <row r="953" spans="1:55" ht="13" customHeight="1">
      <c r="B953" s="1"/>
      <c r="C953" s="17" t="s">
        <v>1652</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3" customHeight="1">
      <c r="AZ954" s="2"/>
      <c r="BA954" s="2"/>
      <c r="BB954" s="2"/>
      <c r="BC954" s="2"/>
    </row>
    <row r="955" spans="1:55" ht="13" customHeight="1">
      <c r="C955" s="1090" t="s">
        <v>1653</v>
      </c>
      <c r="D955" s="4"/>
      <c r="E955" s="4"/>
      <c r="F955" s="4"/>
      <c r="G955" s="4"/>
      <c r="H955" s="4"/>
      <c r="I955" s="4"/>
      <c r="J955" s="4"/>
      <c r="K955" s="4"/>
      <c r="L955" s="1084"/>
      <c r="M955" s="1638"/>
      <c r="N955" s="1469"/>
      <c r="O955" s="1469"/>
      <c r="P955" s="1469"/>
      <c r="Q955" s="1469"/>
      <c r="R955" s="1469"/>
      <c r="S955" s="1558"/>
      <c r="U955" s="1090" t="s">
        <v>1653</v>
      </c>
      <c r="V955" s="4"/>
      <c r="W955" s="4"/>
      <c r="X955" s="4"/>
      <c r="Y955" s="4"/>
      <c r="Z955" s="4"/>
      <c r="AA955" s="4"/>
      <c r="AB955" s="4"/>
      <c r="AC955" s="4"/>
      <c r="AD955" s="1084"/>
      <c r="AE955" s="1638"/>
      <c r="AF955" s="1469"/>
      <c r="AG955" s="1469"/>
      <c r="AH955" s="1469"/>
      <c r="AI955" s="1469"/>
      <c r="AJ955" s="1469"/>
      <c r="AK955" s="1558"/>
      <c r="AZ955" s="2"/>
      <c r="BA955" s="2"/>
      <c r="BB955" s="2"/>
      <c r="BC955" s="2"/>
    </row>
    <row r="956" spans="1:55" ht="13" customHeight="1">
      <c r="C956" s="1090" t="s">
        <v>1654</v>
      </c>
      <c r="D956" s="4"/>
      <c r="E956" s="4"/>
      <c r="F956" s="4"/>
      <c r="G956" s="4"/>
      <c r="H956" s="4"/>
      <c r="I956" s="4"/>
      <c r="J956" s="4"/>
      <c r="K956" s="4"/>
      <c r="L956" s="1084"/>
      <c r="M956" s="1393"/>
      <c r="N956" s="1370"/>
      <c r="O956" s="1370"/>
      <c r="P956" s="1370"/>
      <c r="Q956" s="1370"/>
      <c r="R956" s="1370"/>
      <c r="S956" s="1587"/>
      <c r="U956" s="1090" t="s">
        <v>1654</v>
      </c>
      <c r="V956" s="4"/>
      <c r="W956" s="4"/>
      <c r="X956" s="4"/>
      <c r="Y956" s="4"/>
      <c r="Z956" s="4"/>
      <c r="AA956" s="4"/>
      <c r="AB956" s="4"/>
      <c r="AC956" s="4"/>
      <c r="AD956" s="1084"/>
      <c r="AE956" s="1393"/>
      <c r="AF956" s="1370"/>
      <c r="AG956" s="1370"/>
      <c r="AH956" s="1370"/>
      <c r="AI956" s="1370"/>
      <c r="AJ956" s="1370"/>
      <c r="AK956" s="1587"/>
      <c r="AZ956" s="2"/>
      <c r="BA956" s="2"/>
      <c r="BB956" s="2"/>
      <c r="BC956" s="2"/>
    </row>
    <row r="957" spans="1:55" ht="13" customHeight="1">
      <c r="C957" s="1090" t="s">
        <v>1655</v>
      </c>
      <c r="D957" s="4"/>
      <c r="E957" s="4"/>
      <c r="J957" s="1738" t="s">
        <v>478</v>
      </c>
      <c r="K957" s="1739"/>
      <c r="L957" s="1739"/>
      <c r="M957" s="1739"/>
      <c r="N957" s="1739"/>
      <c r="O957" s="1739"/>
      <c r="P957" s="1739"/>
      <c r="Q957" s="1739"/>
      <c r="R957" s="1739"/>
      <c r="S957" s="1740"/>
      <c r="U957" s="1090" t="s">
        <v>1655</v>
      </c>
      <c r="V957" s="4"/>
      <c r="W957" s="4"/>
      <c r="AB957" s="1738" t="s">
        <v>478</v>
      </c>
      <c r="AC957" s="1739"/>
      <c r="AD957" s="1739"/>
      <c r="AE957" s="1739"/>
      <c r="AF957" s="1739"/>
      <c r="AG957" s="1739"/>
      <c r="AH957" s="1739"/>
      <c r="AI957" s="1739"/>
      <c r="AJ957" s="1739"/>
      <c r="AK957" s="1740"/>
      <c r="AZ957" s="2"/>
      <c r="BA957" s="2"/>
      <c r="BB957" s="2"/>
      <c r="BC957" s="2"/>
    </row>
    <row r="958" spans="1:55" ht="13" customHeight="1">
      <c r="C958" s="1090" t="s">
        <v>1656</v>
      </c>
      <c r="D958" s="4"/>
      <c r="E958" s="4"/>
      <c r="F958" s="4"/>
      <c r="G958" s="4"/>
      <c r="H958" s="4"/>
      <c r="I958" s="4"/>
      <c r="J958" s="4"/>
      <c r="K958" s="4"/>
      <c r="L958" s="1084"/>
      <c r="M958" s="1744"/>
      <c r="N958" s="1714"/>
      <c r="O958" s="1714"/>
      <c r="P958" s="1714"/>
      <c r="Q958" s="1714"/>
      <c r="R958" s="1714"/>
      <c r="S958" s="1715"/>
      <c r="U958" s="1090" t="s">
        <v>1656</v>
      </c>
      <c r="V958" s="4"/>
      <c r="W958" s="4"/>
      <c r="X958" s="4"/>
      <c r="Y958" s="4"/>
      <c r="Z958" s="4"/>
      <c r="AA958" s="4"/>
      <c r="AB958" s="4"/>
      <c r="AC958" s="4"/>
      <c r="AD958" s="1084"/>
      <c r="AE958" s="1713"/>
      <c r="AF958" s="1714"/>
      <c r="AG958" s="1714"/>
      <c r="AH958" s="1714"/>
      <c r="AI958" s="1714"/>
      <c r="AJ958" s="1714"/>
      <c r="AK958" s="1715"/>
      <c r="AZ958" s="2"/>
      <c r="BA958" s="2"/>
      <c r="BB958" s="2"/>
      <c r="BC958" s="2"/>
    </row>
    <row r="959" spans="1:55" ht="13" customHeight="1">
      <c r="C959" s="1090" t="s">
        <v>1657</v>
      </c>
      <c r="D959" s="4"/>
      <c r="E959" s="4"/>
      <c r="F959" s="4"/>
      <c r="G959" s="4"/>
      <c r="H959" s="4"/>
      <c r="I959" s="4"/>
      <c r="J959" s="4"/>
      <c r="K959" s="4"/>
      <c r="L959" s="1084"/>
      <c r="M959" s="1659"/>
      <c r="N959" s="1533"/>
      <c r="O959" s="1533"/>
      <c r="P959" s="1533"/>
      <c r="Q959" s="1533"/>
      <c r="R959" s="1533"/>
      <c r="S959" s="1534"/>
      <c r="U959" s="1090" t="s">
        <v>1657</v>
      </c>
      <c r="V959" s="4"/>
      <c r="W959" s="4"/>
      <c r="X959" s="4"/>
      <c r="Y959" s="4"/>
      <c r="Z959" s="4"/>
      <c r="AA959" s="4"/>
      <c r="AB959" s="4"/>
      <c r="AC959" s="4"/>
      <c r="AD959" s="1084"/>
      <c r="AE959" s="1659"/>
      <c r="AF959" s="1533"/>
      <c r="AG959" s="1533"/>
      <c r="AH959" s="1533"/>
      <c r="AI959" s="1533"/>
      <c r="AJ959" s="1533"/>
      <c r="AK959" s="1534"/>
      <c r="AV959" s="1"/>
      <c r="AW959" s="1"/>
      <c r="AX959" s="1"/>
      <c r="AY959" s="1"/>
      <c r="AZ959" s="2"/>
      <c r="BA959" s="2"/>
      <c r="BB959" s="2"/>
      <c r="BC959" s="2"/>
    </row>
    <row r="960" spans="1:55" ht="13" customHeight="1">
      <c r="C960" s="1090" t="s">
        <v>1658</v>
      </c>
      <c r="D960" s="4"/>
      <c r="E960" s="4"/>
      <c r="F960" s="4"/>
      <c r="G960" s="4"/>
      <c r="H960" s="4"/>
      <c r="I960" s="4"/>
      <c r="J960" s="4"/>
      <c r="K960" s="4"/>
      <c r="L960" s="1084"/>
      <c r="M960" s="1582"/>
      <c r="N960" s="1481"/>
      <c r="O960" s="1481"/>
      <c r="P960" s="1481"/>
      <c r="Q960" s="1481"/>
      <c r="R960" s="1481"/>
      <c r="S960" s="1583"/>
      <c r="U960" s="1090" t="s">
        <v>1658</v>
      </c>
      <c r="V960" s="4"/>
      <c r="W960" s="4"/>
      <c r="X960" s="4"/>
      <c r="Y960" s="4"/>
      <c r="Z960" s="4"/>
      <c r="AA960" s="4"/>
      <c r="AB960" s="4"/>
      <c r="AC960" s="4"/>
      <c r="AD960" s="1084"/>
      <c r="AE960" s="1582"/>
      <c r="AF960" s="1481"/>
      <c r="AG960" s="1481"/>
      <c r="AH960" s="1481"/>
      <c r="AI960" s="1481"/>
      <c r="AJ960" s="1481"/>
      <c r="AK960" s="1583"/>
      <c r="AV960" s="1"/>
      <c r="AW960" s="1"/>
      <c r="AX960" s="1"/>
      <c r="AY960" s="1"/>
      <c r="AZ960" s="2"/>
      <c r="BA960" s="2"/>
      <c r="BB960" s="2"/>
      <c r="BC960" s="2"/>
    </row>
    <row r="961" spans="1:64" ht="13" customHeight="1">
      <c r="C961" s="1090" t="s">
        <v>1659</v>
      </c>
      <c r="D961" s="4"/>
      <c r="E961" s="4"/>
      <c r="F961" s="4"/>
      <c r="G961" s="4"/>
      <c r="H961" s="4"/>
      <c r="I961" s="4"/>
      <c r="J961" s="4"/>
      <c r="K961" s="4"/>
      <c r="L961" s="1084"/>
      <c r="M961" s="1582"/>
      <c r="N961" s="1481"/>
      <c r="O961" s="1481"/>
      <c r="P961" s="1481"/>
      <c r="Q961" s="1481"/>
      <c r="R961" s="1481"/>
      <c r="S961" s="1583"/>
      <c r="U961" s="1090" t="s">
        <v>1659</v>
      </c>
      <c r="V961" s="4"/>
      <c r="W961" s="4"/>
      <c r="X961" s="4"/>
      <c r="Y961" s="4"/>
      <c r="Z961" s="4"/>
      <c r="AA961" s="4"/>
      <c r="AB961" s="4"/>
      <c r="AC961" s="4"/>
      <c r="AD961" s="1084"/>
      <c r="AE961" s="1582"/>
      <c r="AF961" s="1481"/>
      <c r="AG961" s="1481"/>
      <c r="AH961" s="1481"/>
      <c r="AI961" s="1481"/>
      <c r="AJ961" s="1481"/>
      <c r="AK961" s="1583"/>
      <c r="AV961" s="1"/>
      <c r="AW961" s="1"/>
      <c r="AX961" s="1"/>
      <c r="AY961" s="1"/>
      <c r="AZ961" s="2"/>
      <c r="BB961" s="2"/>
      <c r="BC961" s="2"/>
    </row>
    <row r="962" spans="1:64" ht="13" customHeight="1">
      <c r="C962" s="1090" t="s">
        <v>1246</v>
      </c>
      <c r="D962" s="4"/>
      <c r="E962" s="4"/>
      <c r="F962" s="4"/>
      <c r="G962" s="4"/>
      <c r="H962" s="4"/>
      <c r="I962" s="4"/>
      <c r="J962" s="4"/>
      <c r="K962" s="4"/>
      <c r="L962" s="1084"/>
      <c r="M962" s="1710"/>
      <c r="N962" s="1711"/>
      <c r="O962" s="1711"/>
      <c r="P962" s="1711"/>
      <c r="Q962" s="1711"/>
      <c r="R962" s="1711"/>
      <c r="S962" s="1712"/>
      <c r="U962" s="1090" t="s">
        <v>1246</v>
      </c>
      <c r="V962" s="4"/>
      <c r="W962" s="4"/>
      <c r="X962" s="4"/>
      <c r="Y962" s="4"/>
      <c r="Z962" s="4"/>
      <c r="AA962" s="4"/>
      <c r="AB962" s="4"/>
      <c r="AC962" s="4"/>
      <c r="AD962" s="1084"/>
      <c r="AE962" s="1710"/>
      <c r="AF962" s="1711"/>
      <c r="AG962" s="1711"/>
      <c r="AH962" s="1711"/>
      <c r="AI962" s="1711"/>
      <c r="AJ962" s="1711"/>
      <c r="AK962" s="1712"/>
      <c r="AZ962" s="2"/>
      <c r="BB962" s="2"/>
      <c r="BC962" s="2"/>
      <c r="BD962" s="2"/>
      <c r="BE962" s="2"/>
      <c r="BF962" s="2"/>
      <c r="BG962" s="2"/>
      <c r="BH962" s="2"/>
      <c r="BI962" s="2"/>
      <c r="BJ962" s="2"/>
      <c r="BK962" s="2"/>
      <c r="BL962" s="2"/>
    </row>
    <row r="963" spans="1:64" ht="13" customHeight="1">
      <c r="AZ963" s="2"/>
      <c r="BB963" s="2"/>
      <c r="BC963" s="2"/>
      <c r="BD963" s="2"/>
      <c r="BE963" s="2"/>
      <c r="BF963" s="2"/>
      <c r="BG963" s="2"/>
      <c r="BH963" s="2"/>
      <c r="BI963" s="2"/>
      <c r="BJ963" s="2"/>
      <c r="BK963" s="2"/>
      <c r="BL963" s="2"/>
    </row>
    <row r="964" spans="1:64" ht="13" customHeight="1">
      <c r="A964" s="1" t="s">
        <v>992</v>
      </c>
      <c r="C964" s="1" t="s">
        <v>1660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3" customHeight="1">
      <c r="A965"/>
      <c r="B965" s="1"/>
      <c r="C965" s="17" t="s">
        <v>1661</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3"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3"/>
      <c r="AV966"/>
      <c r="AW966"/>
      <c r="AX966"/>
      <c r="AY966"/>
      <c r="AZ966" s="2"/>
      <c r="BA966"/>
      <c r="BB966" s="2"/>
      <c r="BC966" s="2"/>
      <c r="BD966" s="2"/>
      <c r="BE966" s="2"/>
      <c r="BF966" s="2"/>
      <c r="BG966" s="2"/>
      <c r="BH966" s="2"/>
      <c r="BI966" s="2"/>
      <c r="BJ966" s="2"/>
      <c r="BK966" s="2"/>
      <c r="BL966" s="2"/>
    </row>
    <row r="967" spans="1:64" s="11" customFormat="1" ht="13" customHeight="1">
      <c r="A967"/>
      <c r="B967"/>
      <c r="C967"/>
      <c r="D967"/>
      <c r="E967"/>
      <c r="F967" s="1083" t="s">
        <v>1662</v>
      </c>
      <c r="G967" s="4"/>
      <c r="H967" s="4"/>
      <c r="I967" s="4"/>
      <c r="J967" s="4"/>
      <c r="K967" s="4"/>
      <c r="L967" s="1084"/>
      <c r="M967" s="1636"/>
      <c r="N967" s="1379"/>
      <c r="O967" s="1379"/>
      <c r="P967" s="1379"/>
      <c r="Q967" s="1379"/>
      <c r="R967" s="1379"/>
      <c r="S967" s="1637"/>
      <c r="T967" s="1090" t="s">
        <v>1663</v>
      </c>
      <c r="U967" s="4"/>
      <c r="V967" s="4"/>
      <c r="W967" s="4"/>
      <c r="X967" s="4"/>
      <c r="Y967" s="4"/>
      <c r="Z967" s="1084"/>
      <c r="AA967" s="1636"/>
      <c r="AB967" s="1379"/>
      <c r="AC967" s="1379"/>
      <c r="AD967" s="1379"/>
      <c r="AE967" s="1379"/>
      <c r="AF967" s="1379"/>
      <c r="AG967" s="1637"/>
      <c r="AH967"/>
      <c r="AI967"/>
      <c r="AJ967"/>
      <c r="AK967"/>
      <c r="AL967"/>
      <c r="AM967"/>
      <c r="AN967"/>
      <c r="AO967"/>
      <c r="AP967"/>
      <c r="AQ967"/>
      <c r="AR967"/>
      <c r="AS967"/>
      <c r="AT967"/>
      <c r="AU967" s="1173"/>
      <c r="AV967"/>
      <c r="AW967"/>
      <c r="AX967"/>
      <c r="AY967"/>
      <c r="AZ967" s="2"/>
      <c r="BA967"/>
      <c r="BB967" s="2"/>
      <c r="BC967" s="2"/>
      <c r="BD967" s="2"/>
      <c r="BE967" s="2"/>
      <c r="BF967" s="2"/>
      <c r="BG967" s="2"/>
      <c r="BH967" s="2"/>
      <c r="BI967" s="2"/>
      <c r="BJ967" s="2"/>
      <c r="BK967" s="2"/>
      <c r="BL967" s="2"/>
    </row>
    <row r="968" spans="1:64" s="11" customFormat="1" ht="13" customHeight="1">
      <c r="A968"/>
      <c r="B968"/>
      <c r="C968"/>
      <c r="D968"/>
      <c r="E968"/>
      <c r="F968" s="1083" t="s">
        <v>1664</v>
      </c>
      <c r="G968" s="4"/>
      <c r="H968" s="4"/>
      <c r="I968" s="4"/>
      <c r="J968" s="4"/>
      <c r="K968" s="4"/>
      <c r="L968" s="1084"/>
      <c r="M968" s="1636"/>
      <c r="N968" s="1379"/>
      <c r="O968" s="1379"/>
      <c r="P968" s="1379"/>
      <c r="Q968" s="1379"/>
      <c r="R968" s="1379"/>
      <c r="S968" s="1637"/>
      <c r="T968" s="1090" t="s">
        <v>1665</v>
      </c>
      <c r="U968" s="4"/>
      <c r="V968" s="4"/>
      <c r="W968" s="4"/>
      <c r="X968" s="4"/>
      <c r="Y968" s="4"/>
      <c r="Z968" s="1084"/>
      <c r="AA968" s="1636"/>
      <c r="AB968" s="1379"/>
      <c r="AC968" s="1379"/>
      <c r="AD968" s="1379"/>
      <c r="AE968" s="1379"/>
      <c r="AF968" s="1379"/>
      <c r="AG968" s="1637"/>
      <c r="AH968"/>
      <c r="AI968"/>
      <c r="AJ968"/>
      <c r="AK968"/>
      <c r="AL968"/>
      <c r="AM968"/>
      <c r="AN968"/>
      <c r="AO968"/>
      <c r="AP968"/>
      <c r="AQ968"/>
      <c r="AR968"/>
      <c r="AS968"/>
      <c r="AT968"/>
      <c r="AU968" s="1173"/>
      <c r="AV968"/>
      <c r="AW968"/>
      <c r="AX968"/>
      <c r="AY968"/>
      <c r="AZ968" s="2"/>
      <c r="BA968"/>
      <c r="BB968" s="2"/>
      <c r="BC968" s="2"/>
      <c r="BD968" s="2"/>
      <c r="BE968" s="2"/>
      <c r="BF968"/>
      <c r="BG968"/>
      <c r="BH968"/>
      <c r="BI968"/>
      <c r="BJ968" s="2"/>
      <c r="BK968" s="2"/>
      <c r="BL968" s="2"/>
    </row>
    <row r="969" spans="1:64" s="11" customFormat="1" ht="13" customHeight="1">
      <c r="A969"/>
      <c r="B969"/>
      <c r="C969"/>
      <c r="D969"/>
      <c r="E969"/>
      <c r="F969" s="1083" t="s">
        <v>1666</v>
      </c>
      <c r="G969" s="4"/>
      <c r="H969" s="4"/>
      <c r="I969" s="4"/>
      <c r="J969" s="4"/>
      <c r="K969" s="4"/>
      <c r="L969" s="1084"/>
      <c r="M969" s="1639" t="s">
        <v>800</v>
      </c>
      <c r="N969" s="1640"/>
      <c r="O969" s="1640"/>
      <c r="P969" s="1640"/>
      <c r="Q969" s="1640"/>
      <c r="R969" s="1640"/>
      <c r="S969" s="1641"/>
      <c r="T969" s="1083" t="s">
        <v>1667</v>
      </c>
      <c r="U969" s="4"/>
      <c r="V969" s="4"/>
      <c r="W969" s="4"/>
      <c r="X969" s="4"/>
      <c r="Y969" s="4"/>
      <c r="Z969" s="1084"/>
      <c r="AA969" s="1636"/>
      <c r="AB969" s="1379"/>
      <c r="AC969" s="1379"/>
      <c r="AD969" s="1379"/>
      <c r="AE969" s="1379"/>
      <c r="AF969" s="1379"/>
      <c r="AG969" s="1637"/>
      <c r="AH969"/>
      <c r="AI969"/>
      <c r="AJ969"/>
      <c r="AK969"/>
      <c r="AL969"/>
      <c r="AM969"/>
      <c r="AN969"/>
      <c r="AO969"/>
      <c r="AP969"/>
      <c r="AQ969"/>
      <c r="AR969"/>
      <c r="AS969"/>
      <c r="AT969"/>
      <c r="AU969" s="1173"/>
      <c r="AV969"/>
      <c r="AW969"/>
      <c r="AX969"/>
      <c r="AY969"/>
      <c r="AZ969" s="2"/>
      <c r="BA969"/>
      <c r="BB969" s="2"/>
      <c r="BC969" s="2"/>
      <c r="BD969" s="2"/>
      <c r="BE969" s="2"/>
      <c r="BF969"/>
      <c r="BG969"/>
      <c r="BH969"/>
      <c r="BI969"/>
      <c r="BJ969" s="2"/>
      <c r="BK969" s="2"/>
      <c r="BL969" s="2"/>
    </row>
    <row r="970" spans="1:64" s="11" customFormat="1" ht="13" customHeight="1">
      <c r="A970"/>
      <c r="B970"/>
      <c r="C970"/>
      <c r="D970"/>
      <c r="E970"/>
      <c r="F970" s="1083" t="s">
        <v>1668</v>
      </c>
      <c r="G970" s="4"/>
      <c r="H970" s="4"/>
      <c r="I970" s="4"/>
      <c r="J970" s="4"/>
      <c r="K970" s="4"/>
      <c r="L970" s="1084"/>
      <c r="M970" s="1636"/>
      <c r="N970" s="1379"/>
      <c r="O970" s="1379"/>
      <c r="P970" s="1379"/>
      <c r="Q970" s="1379"/>
      <c r="R970" s="1379"/>
      <c r="S970" s="1637"/>
      <c r="T970" s="1083" t="s">
        <v>1669</v>
      </c>
      <c r="U970" s="4"/>
      <c r="V970" s="4"/>
      <c r="W970" s="4"/>
      <c r="X970" s="4"/>
      <c r="Y970" s="4"/>
      <c r="Z970" s="1084"/>
      <c r="AA970" s="1636"/>
      <c r="AB970" s="1379"/>
      <c r="AC970" s="1379"/>
      <c r="AD970" s="1379"/>
      <c r="AE970" s="1379"/>
      <c r="AF970" s="1379"/>
      <c r="AG970" s="1637"/>
      <c r="AH970"/>
      <c r="AI970"/>
      <c r="AJ970"/>
      <c r="AK970"/>
      <c r="AL970"/>
      <c r="AM970"/>
      <c r="AN970"/>
      <c r="AO970"/>
      <c r="AP970"/>
      <c r="AQ970"/>
      <c r="AR970"/>
      <c r="AS970"/>
      <c r="AT970"/>
      <c r="AU970" s="1173"/>
      <c r="AV970"/>
      <c r="AW970"/>
      <c r="AX970"/>
      <c r="AY970"/>
      <c r="AZ970" s="2"/>
      <c r="BA970"/>
      <c r="BB970" s="2"/>
      <c r="BC970" s="2"/>
      <c r="BD970" s="2"/>
      <c r="BE970" s="2"/>
      <c r="BF970"/>
      <c r="BG970"/>
      <c r="BH970"/>
      <c r="BI970"/>
      <c r="BJ970" s="2"/>
      <c r="BK970" s="2"/>
      <c r="BL970" s="2"/>
    </row>
    <row r="971" spans="1:64" s="11" customFormat="1" ht="13" customHeight="1">
      <c r="A971"/>
      <c r="B971"/>
      <c r="C971"/>
      <c r="D971"/>
      <c r="E971"/>
      <c r="F971" s="1083" t="s">
        <v>1670</v>
      </c>
      <c r="G971" s="4"/>
      <c r="H971" s="4"/>
      <c r="I971" s="4"/>
      <c r="J971" s="4"/>
      <c r="K971" s="4"/>
      <c r="L971" s="1084"/>
      <c r="M971" s="1636"/>
      <c r="N971" s="1379"/>
      <c r="O971" s="1379"/>
      <c r="P971" s="1379"/>
      <c r="Q971" s="1379"/>
      <c r="R971" s="1379"/>
      <c r="S971" s="1637"/>
      <c r="T971" s="1083" t="s">
        <v>1671</v>
      </c>
      <c r="U971" s="4"/>
      <c r="V971" s="4"/>
      <c r="W971" s="4"/>
      <c r="X971" s="4"/>
      <c r="Y971" s="4"/>
      <c r="Z971" s="1084"/>
      <c r="AA971" s="1636"/>
      <c r="AB971" s="1379"/>
      <c r="AC971" s="1379"/>
      <c r="AD971" s="1379"/>
      <c r="AE971" s="1379"/>
      <c r="AF971" s="1379"/>
      <c r="AG971" s="1637"/>
      <c r="AH971"/>
      <c r="AI971"/>
      <c r="AJ971"/>
      <c r="AK971"/>
      <c r="AL971"/>
      <c r="AM971"/>
      <c r="AN971"/>
      <c r="AO971"/>
      <c r="AP971"/>
      <c r="AQ971"/>
      <c r="AR971"/>
      <c r="AS971"/>
      <c r="AT971"/>
      <c r="AU971" s="1173"/>
      <c r="AV971"/>
      <c r="AW971"/>
      <c r="AX971"/>
      <c r="AY971"/>
      <c r="AZ971" s="2"/>
      <c r="BA971"/>
      <c r="BB971" s="2"/>
      <c r="BC971" s="2"/>
      <c r="BD971" s="2"/>
      <c r="BE971" s="2"/>
      <c r="BF971"/>
      <c r="BG971"/>
      <c r="BH971"/>
      <c r="BI971"/>
      <c r="BJ971" s="2"/>
      <c r="BK971" s="2"/>
      <c r="BL971" s="2"/>
    </row>
    <row r="972" spans="1:64" s="11" customFormat="1" ht="13" customHeight="1">
      <c r="A972"/>
      <c r="B972"/>
      <c r="C972"/>
      <c r="D972"/>
      <c r="E972"/>
      <c r="F972" s="1174" t="s">
        <v>1655</v>
      </c>
      <c r="G972" s="30"/>
      <c r="H972" s="30"/>
      <c r="I972" s="30"/>
      <c r="J972" s="30"/>
      <c r="K972" s="30"/>
      <c r="L972" s="39"/>
      <c r="M972" s="1738" t="s">
        <v>478</v>
      </c>
      <c r="N972" s="1739"/>
      <c r="O972" s="1739"/>
      <c r="P972" s="1739"/>
      <c r="Q972" s="1739"/>
      <c r="R972" s="1739"/>
      <c r="S972" s="1740"/>
      <c r="T972" s="1697"/>
      <c r="U972" s="1698"/>
      <c r="V972" s="1698"/>
      <c r="W972" s="1698"/>
      <c r="X972" s="1698"/>
      <c r="Y972" s="1698"/>
      <c r="Z972" s="1699"/>
      <c r="AA972" s="1636"/>
      <c r="AB972" s="1379"/>
      <c r="AC972" s="1379"/>
      <c r="AD972" s="1379"/>
      <c r="AE972" s="1379"/>
      <c r="AF972" s="1379"/>
      <c r="AG972" s="1637"/>
      <c r="AH972"/>
      <c r="AI972"/>
      <c r="AJ972"/>
      <c r="AK972"/>
      <c r="AL972"/>
      <c r="AM972"/>
      <c r="AN972"/>
      <c r="AO972"/>
      <c r="AP972"/>
      <c r="AQ972"/>
      <c r="AR972"/>
      <c r="AS972"/>
      <c r="AT972"/>
      <c r="AU972" s="1173"/>
      <c r="AV972"/>
      <c r="AW972"/>
      <c r="AX972"/>
      <c r="AY972"/>
      <c r="AZ972" s="2"/>
      <c r="BA972" s="2"/>
      <c r="BB972" s="2"/>
      <c r="BC972" s="2"/>
      <c r="BD972" s="2"/>
      <c r="BE972" s="2"/>
      <c r="BF972" s="2"/>
      <c r="BG972" s="2"/>
      <c r="BH972" s="2"/>
      <c r="BI972" s="2"/>
      <c r="BJ972" s="2"/>
      <c r="BK972" s="2"/>
      <c r="BL972" s="2"/>
    </row>
    <row r="973" spans="1:64" s="11" customFormat="1" ht="13" customHeight="1">
      <c r="A973"/>
      <c r="B973"/>
      <c r="C973"/>
      <c r="D973"/>
      <c r="E973"/>
      <c r="F973" s="29" t="s">
        <v>1672</v>
      </c>
      <c r="G973" s="30"/>
      <c r="H973" s="30"/>
      <c r="I973" s="30"/>
      <c r="J973" s="30"/>
      <c r="K973" s="30"/>
      <c r="L973" s="39"/>
      <c r="M973" s="1636"/>
      <c r="N973" s="1379"/>
      <c r="O973" s="1379"/>
      <c r="P973" s="1379"/>
      <c r="Q973" s="1379"/>
      <c r="R973" s="1379"/>
      <c r="S973" s="1637"/>
      <c r="T973" s="1697"/>
      <c r="U973" s="1698"/>
      <c r="V973" s="1698"/>
      <c r="W973" s="1698"/>
      <c r="X973" s="1698"/>
      <c r="Y973" s="1698"/>
      <c r="Z973" s="1699"/>
      <c r="AA973" s="1636"/>
      <c r="AB973" s="1379"/>
      <c r="AC973" s="1379"/>
      <c r="AD973" s="1379"/>
      <c r="AE973" s="1379"/>
      <c r="AF973" s="1379"/>
      <c r="AG973" s="1637"/>
      <c r="AH973"/>
      <c r="AI973"/>
      <c r="AJ973"/>
      <c r="AK973"/>
      <c r="AL973"/>
      <c r="AM973"/>
      <c r="AN973"/>
      <c r="AO973"/>
      <c r="AP973"/>
      <c r="AQ973"/>
      <c r="AR973"/>
      <c r="AS973"/>
      <c r="AT973"/>
      <c r="AU973" s="1173"/>
      <c r="AV973"/>
      <c r="AW973"/>
      <c r="AX973"/>
      <c r="AY973"/>
      <c r="AZ973" s="2"/>
      <c r="BA973" s="2"/>
      <c r="BB973" s="2"/>
      <c r="BC973" s="2"/>
      <c r="BD973" s="2"/>
      <c r="BE973" s="2"/>
      <c r="BF973" s="2"/>
      <c r="BG973" s="2"/>
      <c r="BH973" s="2"/>
      <c r="BI973" s="2"/>
      <c r="BJ973" s="2"/>
      <c r="BK973" s="2"/>
      <c r="BL973" s="2"/>
    </row>
    <row r="974" spans="1:64" ht="13" customHeight="1">
      <c r="F974" s="29" t="s">
        <v>1673</v>
      </c>
      <c r="G974" s="30"/>
      <c r="H974" s="30"/>
      <c r="I974" s="30"/>
      <c r="J974" s="30"/>
      <c r="K974" s="30"/>
      <c r="L974" s="30"/>
      <c r="M974" s="30"/>
      <c r="N974" s="30"/>
      <c r="O974" s="1321" t="s">
        <v>695</v>
      </c>
      <c r="P974" s="1323"/>
      <c r="Q974" s="52"/>
      <c r="R974" s="52"/>
      <c r="S974" s="53"/>
      <c r="T974" s="29" t="s">
        <v>233</v>
      </c>
      <c r="U974" s="30"/>
      <c r="V974" s="30"/>
      <c r="W974" s="1741" t="s">
        <v>1378</v>
      </c>
      <c r="X974" s="1742"/>
      <c r="Y974" s="1742"/>
      <c r="Z974" s="1742"/>
      <c r="AA974" s="1742"/>
      <c r="AB974" s="1742"/>
      <c r="AC974" s="1742"/>
      <c r="AD974" s="1742"/>
      <c r="AE974" s="1742"/>
      <c r="AF974" s="1742"/>
      <c r="AG974" s="1743"/>
      <c r="AU974" s="1173"/>
      <c r="AV974" s="54"/>
      <c r="AW974" s="54"/>
      <c r="AX974" s="54"/>
      <c r="AY974" s="54"/>
      <c r="AZ974" s="2"/>
      <c r="BB974" s="2"/>
      <c r="BC974" s="2"/>
      <c r="BD974" s="2"/>
      <c r="BE974" s="2"/>
      <c r="BF974" s="2"/>
      <c r="BG974" s="2"/>
      <c r="BH974" s="2"/>
      <c r="BI974" s="2"/>
      <c r="BJ974" s="2"/>
      <c r="BK974" s="2"/>
      <c r="BL974" s="2"/>
    </row>
    <row r="975" spans="1:64" ht="13" customHeight="1">
      <c r="F975" s="1541" t="s">
        <v>1674</v>
      </c>
      <c r="G975" s="1414"/>
      <c r="H975" s="1414"/>
      <c r="I975" s="1414"/>
      <c r="J975" s="1414"/>
      <c r="K975" s="1414"/>
      <c r="L975" s="1414"/>
      <c r="M975" s="1636"/>
      <c r="N975" s="1379"/>
      <c r="O975" s="1379"/>
      <c r="P975" s="1379"/>
      <c r="Q975" s="1379"/>
      <c r="R975" s="1379"/>
      <c r="S975" s="1637"/>
      <c r="T975" s="31"/>
      <c r="U975" s="32"/>
      <c r="V975" s="32"/>
      <c r="W975" s="32"/>
      <c r="X975" s="32"/>
      <c r="Y975" s="32"/>
      <c r="Z975" s="72" t="s">
        <v>1675</v>
      </c>
      <c r="AA975" s="1694"/>
      <c r="AB975" s="1695"/>
      <c r="AC975" s="1695"/>
      <c r="AD975" s="1695"/>
      <c r="AE975" s="1695"/>
      <c r="AF975" s="1695"/>
      <c r="AG975" s="1696"/>
      <c r="AU975" s="1173"/>
      <c r="AV975" s="54"/>
      <c r="AW975" s="54"/>
      <c r="AX975" s="54"/>
      <c r="AY975" s="54"/>
      <c r="AZ975" s="11"/>
      <c r="BA975" s="11"/>
      <c r="BB975" s="2"/>
      <c r="BC975" s="2"/>
      <c r="BD975" s="2"/>
      <c r="BE975" s="2"/>
      <c r="BF975" s="2"/>
      <c r="BG975" s="11"/>
      <c r="BH975" s="11"/>
      <c r="BI975" s="11"/>
      <c r="BJ975" s="11"/>
      <c r="BK975" s="11"/>
      <c r="BL975" s="11"/>
    </row>
    <row r="976" spans="1:64" ht="13" customHeight="1">
      <c r="AU976" s="1173"/>
      <c r="AV976" s="1173"/>
      <c r="AW976" s="1173"/>
      <c r="AX976" s="1173"/>
      <c r="AY976" s="1173"/>
      <c r="AZ976" s="11"/>
      <c r="BA976" s="11"/>
      <c r="BB976" s="11"/>
      <c r="BC976" s="11"/>
      <c r="BD976" s="11"/>
      <c r="BE976" s="11"/>
      <c r="BF976" s="11"/>
      <c r="BG976" s="1552"/>
      <c r="BH976" s="1552"/>
      <c r="BI976" s="1552"/>
      <c r="BJ976" s="1552"/>
      <c r="BK976" s="1552"/>
      <c r="BL976" s="1552"/>
    </row>
    <row r="977" spans="1:64" ht="13" customHeight="1">
      <c r="AU977" s="1173"/>
      <c r="AV977" s="1173"/>
      <c r="AW977" s="1173"/>
      <c r="AX977" s="1173"/>
      <c r="AY977" s="1173"/>
      <c r="AZ977" s="11"/>
      <c r="BA977" s="11"/>
      <c r="BB977" s="718"/>
      <c r="BC977" s="718"/>
      <c r="BD977" s="11"/>
      <c r="BE977" s="11"/>
      <c r="BF977" s="11"/>
      <c r="BG977" s="11"/>
      <c r="BH977" s="11"/>
      <c r="BI977" s="11"/>
      <c r="BJ977" s="11"/>
      <c r="BK977" s="11"/>
      <c r="BL977" s="11"/>
    </row>
    <row r="978" spans="1:64" ht="13" customHeight="1">
      <c r="AU978" s="1173"/>
      <c r="AV978" s="1173"/>
      <c r="AW978" s="1173"/>
      <c r="AX978" s="1173"/>
      <c r="AY978" s="1173"/>
      <c r="AZ978" s="11"/>
      <c r="BA978" s="11"/>
      <c r="BB978" s="718"/>
      <c r="BC978" s="718"/>
    </row>
    <row r="979" spans="1:64" ht="13" customHeight="1">
      <c r="A979" s="1486" t="s">
        <v>1676</v>
      </c>
      <c r="B979" s="1486"/>
      <c r="C979" s="1486"/>
      <c r="D979" s="1486"/>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6"/>
      <c r="AF979" s="1486"/>
      <c r="AG979" s="1486"/>
      <c r="AH979" s="1486"/>
      <c r="AI979" s="1486"/>
      <c r="AJ979" s="1486"/>
      <c r="AK979" s="1486"/>
      <c r="AL979" s="1486"/>
      <c r="AM979" s="1486"/>
      <c r="AN979" s="1486"/>
      <c r="AO979" s="1486"/>
      <c r="AP979" s="1486"/>
      <c r="AQ979" s="1486"/>
      <c r="AR979" s="1486"/>
      <c r="AS979" s="1486"/>
      <c r="AT979" s="1486"/>
      <c r="AU979" s="1173"/>
      <c r="AV979" s="1173"/>
      <c r="AW979" s="1173"/>
      <c r="AX979" s="1173"/>
      <c r="AY979" s="1173"/>
      <c r="AZ979" s="11"/>
      <c r="BA979" s="11"/>
      <c r="BB979" s="718"/>
      <c r="BC979" s="718"/>
    </row>
    <row r="980" spans="1:64" ht="13" customHeight="1">
      <c r="A980" s="1486"/>
      <c r="B980" s="1486"/>
      <c r="C980" s="1486"/>
      <c r="D980" s="1486"/>
      <c r="E980" s="1486"/>
      <c r="F980" s="1486"/>
      <c r="G980" s="1486"/>
      <c r="H980" s="1486"/>
      <c r="I980" s="1486"/>
      <c r="J980" s="1486"/>
      <c r="K980" s="1486"/>
      <c r="L980" s="1486"/>
      <c r="M980" s="1486"/>
      <c r="N980" s="1486"/>
      <c r="O980" s="1486"/>
      <c r="P980" s="1486"/>
      <c r="Q980" s="1486"/>
      <c r="R980" s="1486"/>
      <c r="S980" s="1486"/>
      <c r="T980" s="1486"/>
      <c r="U980" s="1486"/>
      <c r="V980" s="1486"/>
      <c r="W980" s="1486"/>
      <c r="X980" s="1486"/>
      <c r="Y980" s="1486"/>
      <c r="Z980" s="1486"/>
      <c r="AA980" s="1486"/>
      <c r="AB980" s="1486"/>
      <c r="AC980" s="1486"/>
      <c r="AD980" s="1486"/>
      <c r="AE980" s="1486"/>
      <c r="AF980" s="1486"/>
      <c r="AG980" s="1486"/>
      <c r="AH980" s="1486"/>
      <c r="AI980" s="1486"/>
      <c r="AJ980" s="1486"/>
      <c r="AK980" s="1486"/>
      <c r="AL980" s="1486"/>
      <c r="AM980" s="1486"/>
      <c r="AN980" s="1486"/>
      <c r="AO980" s="1486"/>
      <c r="AP980" s="1486"/>
      <c r="AQ980" s="1486"/>
      <c r="AR980" s="1486"/>
      <c r="AS980" s="1486"/>
      <c r="AT980" s="1486"/>
      <c r="AU980" s="1173"/>
      <c r="AV980" s="1173"/>
      <c r="AW980" s="1173"/>
      <c r="AX980" s="1173"/>
      <c r="AY980" s="1173"/>
      <c r="AZ980" s="23"/>
      <c r="BA980" s="11"/>
      <c r="BB980" s="11"/>
      <c r="BC980" s="11"/>
    </row>
    <row r="981" spans="1:64" ht="13" customHeight="1">
      <c r="A981" s="1486"/>
      <c r="B981" s="1486"/>
      <c r="C981" s="1486"/>
      <c r="D981" s="1486"/>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6"/>
      <c r="AF981" s="1486"/>
      <c r="AG981" s="1486"/>
      <c r="AH981" s="1486"/>
      <c r="AI981" s="1486"/>
      <c r="AJ981" s="1486"/>
      <c r="AK981" s="1486"/>
      <c r="AL981" s="1486"/>
      <c r="AM981" s="1486"/>
      <c r="AN981" s="1486"/>
      <c r="AO981" s="1486"/>
      <c r="AP981" s="1486"/>
      <c r="AQ981" s="1486"/>
      <c r="AR981" s="1486"/>
      <c r="AS981" s="1486"/>
      <c r="AT981" s="1486"/>
      <c r="AU981" s="1173"/>
      <c r="AV981" s="1173"/>
      <c r="AW981" s="1173"/>
      <c r="AX981" s="1173"/>
      <c r="AY981" s="1173"/>
      <c r="AZ981" s="23"/>
      <c r="BA981" s="11"/>
      <c r="BB981" s="11"/>
      <c r="BC981" s="11"/>
    </row>
    <row r="982" spans="1:64" ht="13"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3"/>
      <c r="AM982" s="1173"/>
      <c r="AN982" s="1173"/>
      <c r="AO982" s="1173"/>
      <c r="AP982" s="1173"/>
      <c r="AQ982" s="1173"/>
      <c r="AR982" s="1173"/>
      <c r="AS982" s="1173"/>
      <c r="AT982" s="1173"/>
      <c r="AU982" s="1173"/>
      <c r="AV982" s="1173"/>
      <c r="AW982" s="1173"/>
      <c r="AX982" s="1173"/>
      <c r="AY982" s="1173"/>
      <c r="AZ982" s="11"/>
      <c r="BA982" s="11"/>
      <c r="BB982" s="11"/>
      <c r="BC982" s="11"/>
    </row>
    <row r="983" spans="1:64" ht="13" customHeight="1">
      <c r="A983" s="1" t="s">
        <v>872</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3"/>
      <c r="AM983" s="1173"/>
      <c r="AN983" s="1173"/>
      <c r="AO983" s="1173"/>
      <c r="AP983" s="1173"/>
      <c r="AQ983" s="1173"/>
      <c r="AR983" s="1173"/>
      <c r="AS983" s="1173"/>
      <c r="AT983" s="1173"/>
      <c r="AU983" s="1173"/>
      <c r="AV983" s="1173"/>
      <c r="AW983" s="1173"/>
      <c r="AX983" s="1173"/>
      <c r="AY983" s="1173"/>
      <c r="AZ983" s="11"/>
      <c r="BA983" s="11"/>
      <c r="BB983" s="11"/>
      <c r="BC983" s="11"/>
    </row>
    <row r="984" spans="1:64" ht="13"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3"/>
      <c r="AM984" s="1173"/>
      <c r="AN984" s="1173"/>
      <c r="AO984" s="1173"/>
      <c r="AP984" s="1173"/>
      <c r="AQ984" s="1173"/>
      <c r="AR984" s="1173"/>
      <c r="AS984" s="1173"/>
      <c r="AT984" s="1173"/>
      <c r="AU984" s="1173"/>
      <c r="AV984" s="1173"/>
      <c r="AW984" s="1173"/>
      <c r="AX984" s="1173"/>
      <c r="AY984" s="1173"/>
      <c r="AZ984" s="11"/>
      <c r="BA984" s="11"/>
      <c r="BB984" s="11"/>
      <c r="BC984" s="11"/>
    </row>
    <row r="985" spans="1:64" ht="13" customHeight="1">
      <c r="A985" s="11"/>
      <c r="B985" s="47"/>
      <c r="C985" s="1175"/>
      <c r="D985" s="1725" t="s">
        <v>1677</v>
      </c>
      <c r="E985" s="1726"/>
      <c r="F985" s="1726"/>
      <c r="G985" s="1726"/>
      <c r="H985" s="1726"/>
      <c r="I985" s="1726"/>
      <c r="J985" s="1726"/>
      <c r="K985" s="1726"/>
      <c r="L985" s="1726"/>
      <c r="M985" s="1726"/>
      <c r="N985" s="1726"/>
      <c r="O985" s="1726"/>
      <c r="P985" s="1726"/>
      <c r="Q985" s="1727"/>
      <c r="R985" s="1725" t="s">
        <v>1678</v>
      </c>
      <c r="S985" s="1726"/>
      <c r="T985" s="1726"/>
      <c r="U985" s="1726"/>
      <c r="V985" s="1726"/>
      <c r="W985" s="1726"/>
      <c r="X985" s="1726"/>
      <c r="Y985" s="1726"/>
      <c r="Z985" s="1726"/>
      <c r="AA985" s="1727"/>
      <c r="AB985" s="1725" t="s">
        <v>1679</v>
      </c>
      <c r="AC985" s="1726"/>
      <c r="AD985" s="1726"/>
      <c r="AE985" s="1726"/>
      <c r="AF985" s="1726"/>
      <c r="AG985" s="1726"/>
      <c r="AH985" s="1726"/>
      <c r="AI985" s="1727"/>
      <c r="AJ985" s="1725" t="s">
        <v>1680</v>
      </c>
      <c r="AK985" s="1726"/>
      <c r="AL985" s="1726"/>
      <c r="AM985" s="1726"/>
      <c r="AN985" s="1726"/>
      <c r="AO985" s="1726"/>
      <c r="AP985" s="1726"/>
      <c r="AQ985" s="1727"/>
      <c r="AR985" s="1173"/>
      <c r="AS985" s="1173"/>
      <c r="AT985" s="1173"/>
      <c r="AU985" s="1173"/>
      <c r="AV985" s="1173"/>
      <c r="AW985" s="1173"/>
      <c r="AX985" s="1173"/>
      <c r="AY985" s="1173"/>
      <c r="AZ985" s="23"/>
      <c r="BB985" s="11"/>
      <c r="BC985" s="11"/>
    </row>
    <row r="986" spans="1:64" ht="13" customHeight="1">
      <c r="A986" s="11"/>
      <c r="B986" s="44"/>
      <c r="C986" s="733"/>
      <c r="D986" s="1423" t="s">
        <v>838</v>
      </c>
      <c r="E986" s="1424"/>
      <c r="F986" s="1424"/>
      <c r="G986" s="1424"/>
      <c r="H986" s="1424"/>
      <c r="I986" s="1424"/>
      <c r="J986" s="1424"/>
      <c r="K986" s="1424"/>
      <c r="L986" s="1424"/>
      <c r="M986" s="1424"/>
      <c r="N986" s="1424"/>
      <c r="O986" s="1424"/>
      <c r="P986" s="1424"/>
      <c r="Q986" s="1425"/>
      <c r="R986" s="1720">
        <f>IF(ISNA(IF($CU$122="4%",(INDEX($CS$160:$CW$217,MATCH($DG$122,$CR$160:$CR$217,0),MATCH(D986,$CS$159:$CW$159,0))),(INDEX($CZ$160:$DD$217,MATCH($DG$122,$CY$160:$CY$217,0),MATCH(D986,$CZ$159:$DD$159,0))))),0,IF($CU$122="4%",(INDEX($CS$160:$CW$217,MATCH($DG$122,$CR$160:$CR$217,0),MATCH(D986,$CS$159:$CW$159,0))),(INDEX($CZ$160:$DD$217,MATCH($DG$122,$CY$160:$CY$217,0),MATCH(D986,$CZ$159:$DD$159,0)))))</f>
        <v>307732</v>
      </c>
      <c r="S986" s="1720"/>
      <c r="T986" s="1720"/>
      <c r="U986" s="1720"/>
      <c r="V986" s="1720"/>
      <c r="W986" s="1720"/>
      <c r="X986" s="1720"/>
      <c r="Y986" s="1720"/>
      <c r="Z986" s="1720"/>
      <c r="AA986" s="1720"/>
      <c r="AB986" s="1717">
        <f>CP802</f>
        <v>0</v>
      </c>
      <c r="AC986" s="1718"/>
      <c r="AD986" s="1718"/>
      <c r="AE986" s="1718"/>
      <c r="AF986" s="1718"/>
      <c r="AG986" s="1718"/>
      <c r="AH986" s="1718"/>
      <c r="AI986" s="1719"/>
      <c r="AJ986" s="1651">
        <f>IF(ISERROR((R986*AB986)),0,(R986*AB986))</f>
        <v>0</v>
      </c>
      <c r="AK986" s="1652"/>
      <c r="AL986" s="1652"/>
      <c r="AM986" s="1652"/>
      <c r="AN986" s="1652"/>
      <c r="AO986" s="1652"/>
      <c r="AP986" s="1652"/>
      <c r="AQ986" s="1653"/>
      <c r="AR986" s="1173"/>
      <c r="AS986" s="1173"/>
      <c r="AT986" s="1173"/>
      <c r="AU986" s="1173"/>
      <c r="AV986" s="1173"/>
      <c r="AW986" s="1173"/>
      <c r="AX986" s="1173"/>
      <c r="AY986" s="1173"/>
      <c r="AZ986" s="23"/>
      <c r="BB986" s="11"/>
      <c r="BC986" s="11"/>
    </row>
    <row r="987" spans="1:64" ht="13" customHeight="1">
      <c r="A987" s="11"/>
      <c r="B987" s="44"/>
      <c r="C987" s="48"/>
      <c r="D987" s="1423" t="s">
        <v>833</v>
      </c>
      <c r="E987" s="1424"/>
      <c r="F987" s="1424"/>
      <c r="G987" s="1424"/>
      <c r="H987" s="1424"/>
      <c r="I987" s="1424"/>
      <c r="J987" s="1424"/>
      <c r="K987" s="1424"/>
      <c r="L987" s="1424"/>
      <c r="M987" s="1424"/>
      <c r="N987" s="1424"/>
      <c r="O987" s="1424"/>
      <c r="P987" s="1424"/>
      <c r="Q987" s="1425"/>
      <c r="R987" s="1720">
        <f>IF(ISNA(IF($CU$122="4%",(INDEX($CS$160:$CW$217,MATCH($DG$122,$CR$160:$CR$217,0),MATCH(D987,$CS$159:$CW$159,0))),(INDEX($CZ$160:$DD$217,MATCH($DG$122,$CY$160:$CY$217,0),MATCH(D987,$CZ$159:$DD$159,0))))),0,IF($CU$122="4%",(INDEX($CS$160:$CW$217,MATCH($DG$122,$CR$160:$CR$217,0),MATCH(D987,$CS$159:$CW$159,0))),(INDEX($CZ$160:$DD$217,MATCH($DG$122,$CY$160:$CY$217,0),MATCH(D987,$CZ$159:$DD$159,0)))))</f>
        <v>354812</v>
      </c>
      <c r="S987" s="1720"/>
      <c r="T987" s="1720"/>
      <c r="U987" s="1720"/>
      <c r="V987" s="1720"/>
      <c r="W987" s="1720"/>
      <c r="X987" s="1720"/>
      <c r="Y987" s="1720"/>
      <c r="Z987" s="1720"/>
      <c r="AA987" s="1720"/>
      <c r="AB987" s="1717">
        <f>CU802</f>
        <v>64</v>
      </c>
      <c r="AC987" s="1718"/>
      <c r="AD987" s="1718"/>
      <c r="AE987" s="1718"/>
      <c r="AF987" s="1718"/>
      <c r="AG987" s="1718"/>
      <c r="AH987" s="1718"/>
      <c r="AI987" s="1719"/>
      <c r="AJ987" s="1651">
        <f>IF(ISERROR((R987*AB987)),0,(R987*AB987))</f>
        <v>22707968</v>
      </c>
      <c r="AK987" s="1652"/>
      <c r="AL987" s="1652"/>
      <c r="AM987" s="1652"/>
      <c r="AN987" s="1652"/>
      <c r="AO987" s="1652"/>
      <c r="AP987" s="1652"/>
      <c r="AQ987" s="1653"/>
      <c r="AR987" s="1173"/>
      <c r="AS987" s="1173"/>
      <c r="AT987" s="1173"/>
      <c r="AU987" s="1173"/>
      <c r="AV987" s="1173"/>
      <c r="AW987" s="1173"/>
      <c r="AX987" s="1173"/>
      <c r="AY987" s="1173"/>
      <c r="AZ987" s="23"/>
      <c r="BB987" s="11"/>
      <c r="BC987" s="11"/>
    </row>
    <row r="988" spans="1:64" ht="13" customHeight="1">
      <c r="A988" s="11"/>
      <c r="B988" s="44"/>
      <c r="C988" s="48"/>
      <c r="D988" s="1423" t="s">
        <v>834</v>
      </c>
      <c r="E988" s="1424"/>
      <c r="F988" s="1424"/>
      <c r="G988" s="1424"/>
      <c r="H988" s="1424"/>
      <c r="I988" s="1424"/>
      <c r="J988" s="1424"/>
      <c r="K988" s="1424"/>
      <c r="L988" s="1424"/>
      <c r="M988" s="1424"/>
      <c r="N988" s="1424"/>
      <c r="O988" s="1424"/>
      <c r="P988" s="1424"/>
      <c r="Q988" s="1425"/>
      <c r="R988" s="1720">
        <f>IF(ISNA(IF($CU$122="4%",(INDEX($CS$160:$CW$217,MATCH($DG$122,$CR$160:$CR$217,0),MATCH(D988,$CS$159:$CW$159,0))),(INDEX($CZ$160:$DD$217,MATCH($DG$122,$CY$160:$CY$217,0),MATCH(D988,$CZ$159:$DD$159,0))))),0,IF($CU$122="4%",(INDEX($CS$160:$CW$217,MATCH($DG$122,$CR$160:$CR$217,0),MATCH(D988,$CS$159:$CW$159,0))),(INDEX($CZ$160:$DD$217,MATCH($DG$122,$CY$160:$CY$217,0),MATCH(D988,$CZ$159:$DD$159,0)))))</f>
        <v>428000</v>
      </c>
      <c r="S988" s="1720"/>
      <c r="T988" s="1720"/>
      <c r="U988" s="1720"/>
      <c r="V988" s="1720"/>
      <c r="W988" s="1720"/>
      <c r="X988" s="1720"/>
      <c r="Y988" s="1720"/>
      <c r="Z988" s="1720"/>
      <c r="AA988" s="1720"/>
      <c r="AB988" s="1717">
        <f>CZ802</f>
        <v>16</v>
      </c>
      <c r="AC988" s="1718"/>
      <c r="AD988" s="1718"/>
      <c r="AE988" s="1718"/>
      <c r="AF988" s="1718"/>
      <c r="AG988" s="1718"/>
      <c r="AH988" s="1718"/>
      <c r="AI988" s="1719"/>
      <c r="AJ988" s="1651">
        <f>IF(ISERROR((R988*AB988)),0,(R988*AB988))</f>
        <v>6848000</v>
      </c>
      <c r="AK988" s="1652"/>
      <c r="AL988" s="1652"/>
      <c r="AM988" s="1652"/>
      <c r="AN988" s="1652"/>
      <c r="AO988" s="1652"/>
      <c r="AP988" s="1652"/>
      <c r="AQ988" s="1653"/>
      <c r="AR988" s="1173"/>
      <c r="AS988" s="1173"/>
      <c r="AT988" s="1173"/>
      <c r="AU988" s="1173"/>
      <c r="AV988" s="1173"/>
      <c r="AW988" s="1173"/>
      <c r="AX988" s="1173"/>
      <c r="AY988" s="1173"/>
      <c r="AZ988" s="23"/>
      <c r="BB988" s="11"/>
      <c r="BC988" s="11"/>
    </row>
    <row r="989" spans="1:64" ht="13" customHeight="1">
      <c r="A989" s="11"/>
      <c r="B989" s="44"/>
      <c r="C989" s="48"/>
      <c r="D989" s="1423" t="s">
        <v>835</v>
      </c>
      <c r="E989" s="1424"/>
      <c r="F989" s="1424"/>
      <c r="G989" s="1424"/>
      <c r="H989" s="1424"/>
      <c r="I989" s="1424"/>
      <c r="J989" s="1424"/>
      <c r="K989" s="1424"/>
      <c r="L989" s="1424"/>
      <c r="M989" s="1424"/>
      <c r="N989" s="1424"/>
      <c r="O989" s="1424"/>
      <c r="P989" s="1424"/>
      <c r="Q989" s="1425"/>
      <c r="R989" s="1720">
        <f>IF(ISNA(IF($CU$122="4%",(INDEX($CS$160:$CW$217,MATCH($DG$122,$CR$160:$CR$217,0),MATCH(D989,$CS$159:$CW$159,0))),(INDEX($CZ$160:$DD$217,MATCH($DG$122,$CY$160:$CY$217,0),MATCH(D989,$CZ$159:$DD$159,0))))),0,IF($CU$122="4%",(INDEX($CS$160:$CW$217,MATCH($DG$122,$CR$160:$CR$217,0),MATCH(D989,$CS$159:$CW$159,0))),(INDEX($CZ$160:$DD$217,MATCH($DG$122,$CY$160:$CY$217,0),MATCH(D989,$CZ$159:$DD$159,0)))))</f>
        <v>547840</v>
      </c>
      <c r="S989" s="1720"/>
      <c r="T989" s="1720"/>
      <c r="U989" s="1720"/>
      <c r="V989" s="1720"/>
      <c r="W989" s="1720"/>
      <c r="X989" s="1720"/>
      <c r="Y989" s="1720"/>
      <c r="Z989" s="1720"/>
      <c r="AA989" s="1720"/>
      <c r="AB989" s="1717">
        <f>DE802</f>
        <v>0</v>
      </c>
      <c r="AC989" s="1718"/>
      <c r="AD989" s="1718"/>
      <c r="AE989" s="1718"/>
      <c r="AF989" s="1718"/>
      <c r="AG989" s="1718"/>
      <c r="AH989" s="1718"/>
      <c r="AI989" s="1719"/>
      <c r="AJ989" s="1651">
        <f>IF(ISERROR((R989*AB989)),0,(R989*AB989))</f>
        <v>0</v>
      </c>
      <c r="AK989" s="1652"/>
      <c r="AL989" s="1652"/>
      <c r="AM989" s="1652"/>
      <c r="AN989" s="1652"/>
      <c r="AO989" s="1652"/>
      <c r="AP989" s="1652"/>
      <c r="AQ989" s="1653"/>
      <c r="AR989" s="1173"/>
      <c r="AS989" s="1173"/>
      <c r="AT989" s="1173"/>
      <c r="AU989" s="1173"/>
      <c r="AV989" s="1173"/>
      <c r="AW989" s="1173"/>
      <c r="AX989" s="1173"/>
      <c r="AY989" s="1173"/>
      <c r="AZ989" s="23"/>
      <c r="BA989" s="2"/>
      <c r="BB989" s="11"/>
      <c r="BC989" s="11"/>
    </row>
    <row r="990" spans="1:64" ht="13" customHeight="1">
      <c r="A990" s="11"/>
      <c r="B990" s="31"/>
      <c r="C990" s="46"/>
      <c r="D990" s="1423" t="s">
        <v>839</v>
      </c>
      <c r="E990" s="1424"/>
      <c r="F990" s="1424"/>
      <c r="G990" s="1424"/>
      <c r="H990" s="1424"/>
      <c r="I990" s="1424"/>
      <c r="J990" s="1424"/>
      <c r="K990" s="1424"/>
      <c r="L990" s="1424"/>
      <c r="M990" s="1424"/>
      <c r="N990" s="1424"/>
      <c r="O990" s="1424"/>
      <c r="P990" s="1424"/>
      <c r="Q990" s="1425"/>
      <c r="R990" s="1720">
        <f>IF(ISNA(IF($CU$122="4%",(INDEX($CS$160:$CW$217,MATCH($DG$122,$CR$160:$CR$217,0),MATCH(D990,$CS$159:$CW$159,0))),(INDEX($CZ$160:$DD$217,MATCH($DG$122,$CY$160:$CY$217,0),MATCH(D990,$CZ$159:$DD$159,0))))),0,IF($CU$122="4%",(INDEX($CS$160:$CW$217,MATCH($DG$122,$CR$160:$CR$217,0),MATCH(D990,$CS$159:$CW$159,0))),(INDEX($CZ$160:$DD$217,MATCH($DG$122,$CY$160:$CY$217,0),MATCH(D990,$CZ$159:$DD$159,0)))))</f>
        <v>610328</v>
      </c>
      <c r="S990" s="1720"/>
      <c r="T990" s="1720"/>
      <c r="U990" s="1720"/>
      <c r="V990" s="1720"/>
      <c r="W990" s="1720"/>
      <c r="X990" s="1720"/>
      <c r="Y990" s="1720"/>
      <c r="Z990" s="1720"/>
      <c r="AA990" s="1720"/>
      <c r="AB990" s="1717">
        <f>DO802+DJ802</f>
        <v>0</v>
      </c>
      <c r="AC990" s="1718"/>
      <c r="AD990" s="1718"/>
      <c r="AE990" s="1718"/>
      <c r="AF990" s="1718"/>
      <c r="AG990" s="1718"/>
      <c r="AH990" s="1718"/>
      <c r="AI990" s="1719"/>
      <c r="AJ990" s="1651">
        <f>IF(ISERROR((R990*AB990)),0,(R990*AB990))</f>
        <v>0</v>
      </c>
      <c r="AK990" s="1652"/>
      <c r="AL990" s="1652"/>
      <c r="AM990" s="1652"/>
      <c r="AN990" s="1652"/>
      <c r="AO990" s="1652"/>
      <c r="AP990" s="1652"/>
      <c r="AQ990" s="1653"/>
      <c r="AR990" s="1173"/>
      <c r="AS990" s="1173"/>
      <c r="AT990" s="1173"/>
      <c r="AU990" s="1173"/>
      <c r="AV990" s="1173"/>
      <c r="AW990" s="1173"/>
      <c r="AX990" s="1173"/>
      <c r="AY990" s="1173"/>
      <c r="AZ990" s="23"/>
      <c r="BB990" s="11"/>
      <c r="BC990" s="11"/>
    </row>
    <row r="991" spans="1:64" ht="13" customHeight="1">
      <c r="A991" s="11"/>
      <c r="B991" s="1672" t="s">
        <v>1681</v>
      </c>
      <c r="C991" s="1673"/>
      <c r="D991" s="1673"/>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4"/>
      <c r="AB991" s="1717">
        <f>SUM(AB986:AI990)</f>
        <v>80</v>
      </c>
      <c r="AC991" s="1718"/>
      <c r="AD991" s="1718"/>
      <c r="AE991" s="1718"/>
      <c r="AF991" s="1718"/>
      <c r="AG991" s="1718"/>
      <c r="AH991" s="1718"/>
      <c r="AI991" s="1719"/>
      <c r="AJ991" s="1651"/>
      <c r="AK991" s="1652"/>
      <c r="AL991" s="1652"/>
      <c r="AM991" s="1652"/>
      <c r="AN991" s="1652"/>
      <c r="AO991" s="1652"/>
      <c r="AP991" s="1652"/>
      <c r="AQ991" s="1653"/>
      <c r="AR991" s="1173"/>
      <c r="AS991" s="1173"/>
      <c r="AT991" s="1173"/>
      <c r="AU991" s="1173"/>
      <c r="AV991" s="1173"/>
      <c r="AW991" s="1173"/>
      <c r="AX991" s="1173"/>
      <c r="AY991" s="1173"/>
      <c r="AZ991" s="2"/>
      <c r="BA991" s="2"/>
      <c r="BB991" s="11"/>
      <c r="BC991" s="11"/>
    </row>
    <row r="992" spans="1:64" ht="13" customHeight="1">
      <c r="A992" s="11"/>
      <c r="B992" s="1728" t="s">
        <v>1682</v>
      </c>
      <c r="C992" s="1729"/>
      <c r="D992" s="1729"/>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29"/>
      <c r="AF992" s="1729"/>
      <c r="AG992" s="1729"/>
      <c r="AH992" s="1729"/>
      <c r="AI992" s="1730"/>
      <c r="AJ992" s="1651">
        <f>SUM(AJ986:AQ990)</f>
        <v>29555968</v>
      </c>
      <c r="AK992" s="1652"/>
      <c r="AL992" s="1652"/>
      <c r="AM992" s="1652"/>
      <c r="AN992" s="1652"/>
      <c r="AO992" s="1652"/>
      <c r="AP992" s="1652"/>
      <c r="AQ992" s="1653"/>
      <c r="AR992" s="1173"/>
      <c r="AS992" s="1173"/>
      <c r="AT992" s="1173"/>
      <c r="AU992" s="1173"/>
      <c r="AV992" s="1173"/>
      <c r="AW992" s="1173"/>
      <c r="AX992" s="1173"/>
      <c r="AY992" s="1173"/>
      <c r="AZ992" s="2"/>
      <c r="BB992" s="2"/>
      <c r="BC992" s="2"/>
    </row>
    <row r="993" spans="1:55" ht="13" customHeight="1">
      <c r="A993" s="11"/>
      <c r="B993" s="1681"/>
      <c r="C993" s="1682"/>
      <c r="D993" s="1682"/>
      <c r="E993" s="1682"/>
      <c r="F993" s="1682"/>
      <c r="G993" s="1682"/>
      <c r="H993" s="1682"/>
      <c r="I993" s="1682"/>
      <c r="J993" s="1682"/>
      <c r="K993" s="1682"/>
      <c r="L993" s="1682"/>
      <c r="M993" s="1682"/>
      <c r="N993" s="1682"/>
      <c r="O993" s="1682"/>
      <c r="P993" s="1682"/>
      <c r="Q993" s="1682"/>
      <c r="R993" s="1682"/>
      <c r="S993" s="1682"/>
      <c r="T993" s="1682"/>
      <c r="U993" s="1682"/>
      <c r="V993" s="1682"/>
      <c r="W993" s="1682"/>
      <c r="X993" s="1682"/>
      <c r="Y993" s="1682"/>
      <c r="Z993" s="1682"/>
      <c r="AA993" s="1682"/>
      <c r="AB993" s="1682"/>
      <c r="AC993" s="1682"/>
      <c r="AD993" s="1682"/>
      <c r="AE993" s="1683"/>
      <c r="AF993" s="1757" t="s">
        <v>1683</v>
      </c>
      <c r="AG993" s="1758"/>
      <c r="AH993" s="1758"/>
      <c r="AI993" s="1759"/>
      <c r="AJ993" s="1681"/>
      <c r="AK993" s="1682"/>
      <c r="AL993" s="1682"/>
      <c r="AM993" s="1682"/>
      <c r="AN993" s="1682"/>
      <c r="AO993" s="1682"/>
      <c r="AP993" s="1682"/>
      <c r="AQ993" s="1683"/>
      <c r="AR993" s="1173"/>
      <c r="AS993" s="1173"/>
      <c r="AT993" s="1173"/>
      <c r="AU993" s="1173"/>
      <c r="AV993" s="1173"/>
      <c r="AW993" s="1173"/>
      <c r="AX993" s="1173"/>
      <c r="AY993" s="1173"/>
      <c r="AZ993" s="2"/>
      <c r="BA993" s="2"/>
      <c r="BB993" s="2"/>
      <c r="BC993" s="2"/>
    </row>
    <row r="994" spans="1:55" ht="13" customHeight="1">
      <c r="A994" s="11"/>
      <c r="B994" s="44"/>
      <c r="C994" s="1176" t="s">
        <v>1684</v>
      </c>
      <c r="D994" s="1669" t="s">
        <v>1685</v>
      </c>
      <c r="E994" s="1670"/>
      <c r="F994" s="1670"/>
      <c r="G994" s="1670"/>
      <c r="H994" s="1670"/>
      <c r="I994" s="1670"/>
      <c r="J994" s="1670"/>
      <c r="K994" s="1670"/>
      <c r="L994" s="1670"/>
      <c r="M994" s="1670"/>
      <c r="N994" s="1670"/>
      <c r="O994" s="1670"/>
      <c r="P994" s="1670"/>
      <c r="Q994" s="1670"/>
      <c r="R994" s="1670"/>
      <c r="S994" s="1670"/>
      <c r="T994" s="1670"/>
      <c r="U994" s="1670"/>
      <c r="V994" s="1670"/>
      <c r="W994" s="1670"/>
      <c r="X994" s="1670"/>
      <c r="Y994" s="1670"/>
      <c r="Z994" s="1670"/>
      <c r="AA994" s="1670"/>
      <c r="AB994" s="1670"/>
      <c r="AC994" s="1670"/>
      <c r="AD994" s="1670"/>
      <c r="AE994" s="1671"/>
      <c r="AF994" s="47"/>
      <c r="AG994" s="1760" t="s">
        <v>847</v>
      </c>
      <c r="AH994" s="1761"/>
      <c r="AI994" s="50"/>
      <c r="AJ994" s="1660">
        <f>ROUND(IF(AND(AG994="yes",D1000&gt;0),AJ992*0.2,0),0)</f>
        <v>5911194</v>
      </c>
      <c r="AK994" s="1661"/>
      <c r="AL994" s="1661"/>
      <c r="AM994" s="1661"/>
      <c r="AN994" s="1661"/>
      <c r="AO994" s="1661"/>
      <c r="AP994" s="1661"/>
      <c r="AQ994" s="1662"/>
      <c r="AR994" s="1173"/>
      <c r="AS994" s="1173"/>
      <c r="AT994" s="1173"/>
      <c r="AU994" s="1173"/>
      <c r="AV994" s="1173"/>
      <c r="AW994" s="1173"/>
      <c r="AX994" s="1173"/>
      <c r="AY994" s="1173"/>
      <c r="AZ994" s="2"/>
      <c r="BA994" s="2"/>
      <c r="BB994" s="2"/>
      <c r="BC994" s="2"/>
    </row>
    <row r="995" spans="1:55" ht="13" customHeight="1">
      <c r="A995" s="11"/>
      <c r="B995" s="1177"/>
      <c r="C995" s="1178"/>
      <c r="D995" s="1703" t="s">
        <v>1686</v>
      </c>
      <c r="E995" s="1704"/>
      <c r="F995" s="1704"/>
      <c r="G995" s="1704"/>
      <c r="H995" s="1704"/>
      <c r="I995" s="1704"/>
      <c r="J995" s="1704"/>
      <c r="K995" s="1704"/>
      <c r="L995" s="1704"/>
      <c r="M995" s="1704"/>
      <c r="N995" s="1704"/>
      <c r="O995" s="1704"/>
      <c r="P995" s="1704"/>
      <c r="Q995" s="1704"/>
      <c r="R995" s="1704"/>
      <c r="S995" s="1704"/>
      <c r="T995" s="1704"/>
      <c r="U995" s="1704"/>
      <c r="V995" s="1704"/>
      <c r="W995" s="1704"/>
      <c r="X995" s="1704"/>
      <c r="Y995" s="1704"/>
      <c r="Z995" s="1704"/>
      <c r="AA995" s="1704"/>
      <c r="AB995" s="1704"/>
      <c r="AC995" s="1704"/>
      <c r="AD995" s="1704"/>
      <c r="AE995" s="1705"/>
      <c r="AF995" s="44"/>
      <c r="AG995" s="11"/>
      <c r="AH995" s="11"/>
      <c r="AI995" s="48"/>
      <c r="AJ995" s="1663"/>
      <c r="AK995" s="1664"/>
      <c r="AL995" s="1664"/>
      <c r="AM995" s="1664"/>
      <c r="AN995" s="1664"/>
      <c r="AO995" s="1664"/>
      <c r="AP995" s="1664"/>
      <c r="AQ995" s="1665"/>
      <c r="AR995" s="1173"/>
      <c r="AS995" s="1173"/>
      <c r="AT995" s="1173"/>
      <c r="AU995" s="1173"/>
      <c r="AV995" s="1173"/>
      <c r="AW995" s="1173"/>
      <c r="AX995" s="1173"/>
      <c r="AY995" s="1173"/>
      <c r="AZ995" s="2"/>
      <c r="BA995" s="2"/>
      <c r="BB995" s="2"/>
      <c r="BC995" s="2"/>
    </row>
    <row r="996" spans="1:55" ht="13" customHeight="1">
      <c r="A996" s="11"/>
      <c r="B996" s="1177"/>
      <c r="C996" s="1178"/>
      <c r="D996" s="1703"/>
      <c r="E996" s="1704"/>
      <c r="F996" s="1704"/>
      <c r="G996" s="1704"/>
      <c r="H996" s="1704"/>
      <c r="I996" s="1704"/>
      <c r="J996" s="1704"/>
      <c r="K996" s="1704"/>
      <c r="L996" s="1704"/>
      <c r="M996" s="1704"/>
      <c r="N996" s="1704"/>
      <c r="O996" s="1704"/>
      <c r="P996" s="1704"/>
      <c r="Q996" s="1704"/>
      <c r="R996" s="1704"/>
      <c r="S996" s="1704"/>
      <c r="T996" s="1704"/>
      <c r="U996" s="1704"/>
      <c r="V996" s="1704"/>
      <c r="W996" s="1704"/>
      <c r="X996" s="1704"/>
      <c r="Y996" s="1704"/>
      <c r="Z996" s="1704"/>
      <c r="AA996" s="1704"/>
      <c r="AB996" s="1704"/>
      <c r="AC996" s="1704"/>
      <c r="AD996" s="1704"/>
      <c r="AE996" s="1705"/>
      <c r="AF996" s="44"/>
      <c r="AG996" s="11"/>
      <c r="AH996" s="11"/>
      <c r="AI996" s="48"/>
      <c r="AJ996" s="1663"/>
      <c r="AK996" s="1664"/>
      <c r="AL996" s="1664"/>
      <c r="AM996" s="1664"/>
      <c r="AN996" s="1664"/>
      <c r="AO996" s="1664"/>
      <c r="AP996" s="1664"/>
      <c r="AQ996" s="1665"/>
      <c r="AR996" s="1173"/>
      <c r="AS996" s="1173"/>
      <c r="AT996" s="1173"/>
      <c r="AU996" s="1173"/>
      <c r="AV996" s="1173"/>
      <c r="AW996" s="1173"/>
      <c r="AX996" s="1173"/>
      <c r="AY996" s="1173"/>
      <c r="AZ996" s="2"/>
      <c r="BA996" s="2"/>
      <c r="BB996" s="2"/>
      <c r="BC996" s="2"/>
    </row>
    <row r="997" spans="1:55" ht="13" customHeight="1">
      <c r="A997" s="11"/>
      <c r="B997" s="1177"/>
      <c r="C997" s="1178"/>
      <c r="D997" s="1703"/>
      <c r="E997" s="1704"/>
      <c r="F997" s="1704"/>
      <c r="G997" s="1704"/>
      <c r="H997" s="1704"/>
      <c r="I997" s="1704"/>
      <c r="J997" s="1704"/>
      <c r="K997" s="1704"/>
      <c r="L997" s="1704"/>
      <c r="M997" s="1704"/>
      <c r="N997" s="1704"/>
      <c r="O997" s="1704"/>
      <c r="P997" s="1704"/>
      <c r="Q997" s="1704"/>
      <c r="R997" s="1704"/>
      <c r="S997" s="1704"/>
      <c r="T997" s="1704"/>
      <c r="U997" s="1704"/>
      <c r="V997" s="1704"/>
      <c r="W997" s="1704"/>
      <c r="X997" s="1704"/>
      <c r="Y997" s="1704"/>
      <c r="Z997" s="1704"/>
      <c r="AA997" s="1704"/>
      <c r="AB997" s="1704"/>
      <c r="AC997" s="1704"/>
      <c r="AD997" s="1704"/>
      <c r="AE997" s="1705"/>
      <c r="AF997" s="44"/>
      <c r="AG997" s="11"/>
      <c r="AH997" s="11"/>
      <c r="AI997" s="48"/>
      <c r="AJ997" s="1663"/>
      <c r="AK997" s="1664"/>
      <c r="AL997" s="1664"/>
      <c r="AM997" s="1664"/>
      <c r="AN997" s="1664"/>
      <c r="AO997" s="1664"/>
      <c r="AP997" s="1664"/>
      <c r="AQ997" s="1665"/>
      <c r="AR997" s="1173"/>
      <c r="AS997" s="1173"/>
      <c r="AT997" s="1173"/>
      <c r="AU997" s="1173"/>
      <c r="AV997" s="1173"/>
      <c r="AW997" s="1173"/>
      <c r="AX997" s="1173"/>
      <c r="AY997" s="1173"/>
      <c r="AZ997" s="2"/>
      <c r="BA997" s="2"/>
      <c r="BB997" s="2"/>
      <c r="BC997" s="2"/>
    </row>
    <row r="998" spans="1:55" ht="13" customHeight="1">
      <c r="A998" s="11"/>
      <c r="B998" s="1177"/>
      <c r="C998" s="1178"/>
      <c r="D998" s="1703"/>
      <c r="E998" s="1704"/>
      <c r="F998" s="1704"/>
      <c r="G998" s="1704"/>
      <c r="H998" s="1704"/>
      <c r="I998" s="1704"/>
      <c r="J998" s="1704"/>
      <c r="K998" s="1704"/>
      <c r="L998" s="1704"/>
      <c r="M998" s="1704"/>
      <c r="N998" s="1704"/>
      <c r="O998" s="1704"/>
      <c r="P998" s="1704"/>
      <c r="Q998" s="1704"/>
      <c r="R998" s="1704"/>
      <c r="S998" s="1704"/>
      <c r="T998" s="1704"/>
      <c r="U998" s="1704"/>
      <c r="V998" s="1704"/>
      <c r="W998" s="1704"/>
      <c r="X998" s="1704"/>
      <c r="Y998" s="1704"/>
      <c r="Z998" s="1704"/>
      <c r="AA998" s="1704"/>
      <c r="AB998" s="1704"/>
      <c r="AC998" s="1704"/>
      <c r="AD998" s="1704"/>
      <c r="AE998" s="1705"/>
      <c r="AF998" s="44"/>
      <c r="AG998" s="11"/>
      <c r="AH998" s="11"/>
      <c r="AI998" s="48"/>
      <c r="AJ998" s="1663"/>
      <c r="AK998" s="1664"/>
      <c r="AL998" s="1664"/>
      <c r="AM998" s="1664"/>
      <c r="AN998" s="1664"/>
      <c r="AO998" s="1664"/>
      <c r="AP998" s="1664"/>
      <c r="AQ998" s="1665"/>
      <c r="AR998" s="1173"/>
      <c r="AS998" s="1173"/>
      <c r="AT998" s="1173"/>
      <c r="AU998" s="1173"/>
      <c r="AV998" s="1173"/>
      <c r="AW998" s="1173"/>
      <c r="AX998" s="1173"/>
      <c r="AY998" s="1173"/>
      <c r="AZ998" s="2"/>
      <c r="BA998" s="2"/>
      <c r="BB998" s="2"/>
      <c r="BC998" s="2"/>
    </row>
    <row r="999" spans="1:55" ht="13" customHeight="1">
      <c r="A999" s="11"/>
      <c r="B999" s="1177"/>
      <c r="C999" s="1178"/>
      <c r="D999" s="1706" t="s">
        <v>1687</v>
      </c>
      <c r="E999" s="1707"/>
      <c r="F999" s="1707"/>
      <c r="G999" s="1707"/>
      <c r="H999" s="1707"/>
      <c r="I999" s="1707"/>
      <c r="J999" s="1707"/>
      <c r="K999" s="1707"/>
      <c r="L999" s="1707"/>
      <c r="M999" s="1707"/>
      <c r="N999" s="1707"/>
      <c r="O999" s="1707"/>
      <c r="P999" s="1707"/>
      <c r="Q999" s="1707"/>
      <c r="R999" s="1707"/>
      <c r="S999" s="1707"/>
      <c r="T999" s="1707"/>
      <c r="U999" s="1707"/>
      <c r="V999" s="1707"/>
      <c r="W999" s="1707"/>
      <c r="X999" s="1707"/>
      <c r="Y999" s="1707"/>
      <c r="Z999" s="1707"/>
      <c r="AA999" s="1707"/>
      <c r="AB999" s="1707"/>
      <c r="AC999" s="1707"/>
      <c r="AD999" s="1707"/>
      <c r="AE999" s="1708"/>
      <c r="AF999" s="44"/>
      <c r="AG999" s="11"/>
      <c r="AH999" s="11"/>
      <c r="AI999" s="48"/>
      <c r="AJ999" s="1663"/>
      <c r="AK999" s="1664"/>
      <c r="AL999" s="1664"/>
      <c r="AM999" s="1664"/>
      <c r="AN999" s="1664"/>
      <c r="AO999" s="1664"/>
      <c r="AP999" s="1664"/>
      <c r="AQ999" s="1665"/>
      <c r="AR999" s="1173"/>
      <c r="AS999" s="1173"/>
      <c r="AT999" s="1173"/>
      <c r="AU999" s="1173"/>
      <c r="AV999" s="1173"/>
      <c r="AW999" s="1173"/>
      <c r="AX999" s="1173"/>
      <c r="AY999" s="1173"/>
      <c r="AZ999" s="2"/>
      <c r="BA999" s="2"/>
      <c r="BB999" s="2"/>
      <c r="BC999" s="2"/>
    </row>
    <row r="1000" spans="1:55" ht="13" customHeight="1">
      <c r="A1000" s="11"/>
      <c r="B1000" s="1177"/>
      <c r="C1000" s="1178"/>
      <c r="D1000" s="1675" t="s">
        <v>1688</v>
      </c>
      <c r="E1000" s="1676"/>
      <c r="F1000" s="1676"/>
      <c r="G1000" s="1676"/>
      <c r="H1000" s="1676"/>
      <c r="I1000" s="1676"/>
      <c r="J1000" s="1676"/>
      <c r="K1000" s="1676"/>
      <c r="L1000" s="1676"/>
      <c r="M1000" s="1676"/>
      <c r="N1000" s="1676"/>
      <c r="O1000" s="1676"/>
      <c r="P1000" s="1676"/>
      <c r="Q1000" s="1676"/>
      <c r="R1000" s="1676"/>
      <c r="S1000" s="1676"/>
      <c r="T1000" s="1676"/>
      <c r="U1000" s="1676"/>
      <c r="V1000" s="1676"/>
      <c r="W1000" s="1676"/>
      <c r="X1000" s="1676"/>
      <c r="Y1000" s="1676"/>
      <c r="Z1000" s="1676"/>
      <c r="AA1000" s="1676"/>
      <c r="AB1000" s="1676"/>
      <c r="AC1000" s="1676"/>
      <c r="AD1000" s="1676"/>
      <c r="AE1000" s="1677"/>
      <c r="AF1000" s="45"/>
      <c r="AG1000" s="5"/>
      <c r="AH1000" s="5"/>
      <c r="AI1000" s="46"/>
      <c r="AJ1000" s="1666"/>
      <c r="AK1000" s="1667"/>
      <c r="AL1000" s="1667"/>
      <c r="AM1000" s="1667"/>
      <c r="AN1000" s="1667"/>
      <c r="AO1000" s="1667"/>
      <c r="AP1000" s="1667"/>
      <c r="AQ1000" s="1668"/>
      <c r="AR1000" s="1173"/>
      <c r="AS1000" s="1173"/>
      <c r="AT1000" s="1173"/>
      <c r="AU1000" s="1173"/>
      <c r="AV1000" s="1173"/>
      <c r="AW1000" s="1173"/>
      <c r="AX1000" s="1173"/>
      <c r="AY1000" s="1173"/>
      <c r="AZ1000" s="2"/>
      <c r="BA1000" s="2"/>
      <c r="BB1000" s="2"/>
      <c r="BC1000" s="2"/>
    </row>
    <row r="1001" spans="1:55" ht="13" customHeight="1">
      <c r="A1001" s="11"/>
      <c r="B1001" s="1179"/>
      <c r="C1001" s="1180"/>
      <c r="D1001" s="1700" t="s">
        <v>1689</v>
      </c>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2"/>
      <c r="AF1001" s="47"/>
      <c r="AG1001" s="1686" t="s">
        <v>695</v>
      </c>
      <c r="AH1001" s="1687"/>
      <c r="AI1001" s="50"/>
      <c r="AJ1001" s="1660">
        <f>ROUND(IF(AG1001="yes",AJ992*0.05,0),0)</f>
        <v>0</v>
      </c>
      <c r="AK1001" s="1661"/>
      <c r="AL1001" s="1661"/>
      <c r="AM1001" s="1661"/>
      <c r="AN1001" s="1661"/>
      <c r="AO1001" s="1661"/>
      <c r="AP1001" s="1661"/>
      <c r="AQ1001" s="1662"/>
      <c r="AR1001" s="1173"/>
      <c r="AS1001" s="1173"/>
      <c r="AT1001" s="1173"/>
      <c r="AU1001" s="1173"/>
      <c r="AV1001" s="1173"/>
      <c r="AW1001" s="1173"/>
      <c r="AX1001" s="1173"/>
      <c r="AY1001" s="1173"/>
      <c r="AZ1001" s="2"/>
      <c r="BA1001" s="2"/>
      <c r="BB1001" s="2"/>
      <c r="BC1001" s="2"/>
    </row>
    <row r="1002" spans="1:55" ht="13" customHeight="1">
      <c r="A1002" s="11"/>
      <c r="B1002" s="1177"/>
      <c r="C1002" s="1181"/>
      <c r="D1002" s="1703" t="s">
        <v>1690</v>
      </c>
      <c r="E1002" s="1704"/>
      <c r="F1002" s="1704"/>
      <c r="G1002" s="1704"/>
      <c r="H1002" s="1704"/>
      <c r="I1002" s="1704"/>
      <c r="J1002" s="1704"/>
      <c r="K1002" s="1704"/>
      <c r="L1002" s="1704"/>
      <c r="M1002" s="1704"/>
      <c r="N1002" s="1704"/>
      <c r="O1002" s="1704"/>
      <c r="P1002" s="1704"/>
      <c r="Q1002" s="1704"/>
      <c r="R1002" s="1704"/>
      <c r="S1002" s="1704"/>
      <c r="T1002" s="1704"/>
      <c r="U1002" s="1704"/>
      <c r="V1002" s="1704"/>
      <c r="W1002" s="1704"/>
      <c r="X1002" s="1704"/>
      <c r="Y1002" s="1704"/>
      <c r="Z1002" s="1704"/>
      <c r="AA1002" s="1704"/>
      <c r="AB1002" s="1704"/>
      <c r="AC1002" s="1704"/>
      <c r="AD1002" s="1704"/>
      <c r="AE1002" s="1705"/>
      <c r="AF1002" s="44"/>
      <c r="AG1002" s="11"/>
      <c r="AH1002" s="11"/>
      <c r="AI1002" s="48"/>
      <c r="AJ1002" s="1663"/>
      <c r="AK1002" s="1664"/>
      <c r="AL1002" s="1664"/>
      <c r="AM1002" s="1664"/>
      <c r="AN1002" s="1664"/>
      <c r="AO1002" s="1664"/>
      <c r="AP1002" s="1664"/>
      <c r="AQ1002" s="1665"/>
      <c r="AR1002" s="1173"/>
      <c r="AS1002" s="1173"/>
      <c r="AT1002" s="1173"/>
      <c r="AU1002" s="1173"/>
      <c r="AV1002" s="1173"/>
      <c r="AW1002" s="1173"/>
      <c r="AX1002" s="1173"/>
      <c r="AY1002" s="2"/>
      <c r="AZ1002" s="2"/>
      <c r="BB1002" s="2"/>
    </row>
    <row r="1003" spans="1:55" ht="13" customHeight="1">
      <c r="A1003" s="11"/>
      <c r="B1003" s="1177"/>
      <c r="C1003" s="1181"/>
      <c r="D1003" s="1703"/>
      <c r="E1003" s="1704"/>
      <c r="F1003" s="1704"/>
      <c r="G1003" s="1704"/>
      <c r="H1003" s="1704"/>
      <c r="I1003" s="1704"/>
      <c r="J1003" s="1704"/>
      <c r="K1003" s="1704"/>
      <c r="L1003" s="1704"/>
      <c r="M1003" s="1704"/>
      <c r="N1003" s="1704"/>
      <c r="O1003" s="1704"/>
      <c r="P1003" s="1704"/>
      <c r="Q1003" s="1704"/>
      <c r="R1003" s="1704"/>
      <c r="S1003" s="1704"/>
      <c r="T1003" s="1704"/>
      <c r="U1003" s="1704"/>
      <c r="V1003" s="1704"/>
      <c r="W1003" s="1704"/>
      <c r="X1003" s="1704"/>
      <c r="Y1003" s="1704"/>
      <c r="Z1003" s="1704"/>
      <c r="AA1003" s="1704"/>
      <c r="AB1003" s="1704"/>
      <c r="AC1003" s="1704"/>
      <c r="AD1003" s="1704"/>
      <c r="AE1003" s="1705"/>
      <c r="AF1003" s="44"/>
      <c r="AG1003" s="11"/>
      <c r="AH1003" s="11"/>
      <c r="AI1003" s="48"/>
      <c r="AJ1003" s="1663"/>
      <c r="AK1003" s="1664"/>
      <c r="AL1003" s="1664"/>
      <c r="AM1003" s="1664"/>
      <c r="AN1003" s="1664"/>
      <c r="AO1003" s="1664"/>
      <c r="AP1003" s="1664"/>
      <c r="AQ1003" s="1665"/>
      <c r="AR1003" s="1173"/>
      <c r="AS1003" s="1173"/>
      <c r="AT1003" s="1173"/>
      <c r="AU1003" s="1173"/>
      <c r="AV1003" s="1173"/>
      <c r="AW1003" s="1173"/>
      <c r="AX1003" s="1173"/>
      <c r="AY1003" s="720">
        <f>G753+O797</f>
        <v>79</v>
      </c>
      <c r="AZ1003" s="2"/>
      <c r="BB1003" s="2"/>
    </row>
    <row r="1004" spans="1:55" ht="13" customHeight="1">
      <c r="A1004" s="11"/>
      <c r="B1004" s="1177"/>
      <c r="C1004" s="1181"/>
      <c r="D1004" s="1703"/>
      <c r="E1004" s="1704"/>
      <c r="F1004" s="1704"/>
      <c r="G1004" s="1704"/>
      <c r="H1004" s="1704"/>
      <c r="I1004" s="1704"/>
      <c r="J1004" s="1704"/>
      <c r="K1004" s="1704"/>
      <c r="L1004" s="1704"/>
      <c r="M1004" s="1704"/>
      <c r="N1004" s="1704"/>
      <c r="O1004" s="1704"/>
      <c r="P1004" s="1704"/>
      <c r="Q1004" s="1704"/>
      <c r="R1004" s="1704"/>
      <c r="S1004" s="1704"/>
      <c r="T1004" s="1704"/>
      <c r="U1004" s="1704"/>
      <c r="V1004" s="1704"/>
      <c r="W1004" s="1704"/>
      <c r="X1004" s="1704"/>
      <c r="Y1004" s="1704"/>
      <c r="Z1004" s="1704"/>
      <c r="AA1004" s="1704"/>
      <c r="AB1004" s="1704"/>
      <c r="AC1004" s="1704"/>
      <c r="AD1004" s="1704"/>
      <c r="AE1004" s="1705"/>
      <c r="AF1004" s="44"/>
      <c r="AG1004" s="11"/>
      <c r="AH1004" s="11"/>
      <c r="AI1004" s="48"/>
      <c r="AJ1004" s="1663"/>
      <c r="AK1004" s="1664"/>
      <c r="AL1004" s="1664"/>
      <c r="AM1004" s="1664"/>
      <c r="AN1004" s="1664"/>
      <c r="AO1004" s="1664"/>
      <c r="AP1004" s="1664"/>
      <c r="AQ1004" s="1665"/>
      <c r="AR1004" s="1173"/>
      <c r="AS1004" s="1173"/>
      <c r="AT1004" s="1173"/>
      <c r="AU1004" s="1173"/>
      <c r="AV1004" s="1173"/>
      <c r="AW1004" s="1173"/>
      <c r="AX1004" s="1173"/>
      <c r="AY1004" s="11"/>
      <c r="AZ1004" s="2"/>
      <c r="BB1004" s="2"/>
    </row>
    <row r="1005" spans="1:55" ht="13" customHeight="1">
      <c r="A1005" s="11"/>
      <c r="B1005" s="1177"/>
      <c r="C1005" s="1181"/>
      <c r="D1005" s="1703"/>
      <c r="E1005" s="1704"/>
      <c r="F1005" s="1704"/>
      <c r="G1005" s="1704"/>
      <c r="H1005" s="1704"/>
      <c r="I1005" s="1704"/>
      <c r="J1005" s="1704"/>
      <c r="K1005" s="1704"/>
      <c r="L1005" s="1704"/>
      <c r="M1005" s="1704"/>
      <c r="N1005" s="1704"/>
      <c r="O1005" s="1704"/>
      <c r="P1005" s="1704"/>
      <c r="Q1005" s="1704"/>
      <c r="R1005" s="1704"/>
      <c r="S1005" s="1704"/>
      <c r="T1005" s="1704"/>
      <c r="U1005" s="1704"/>
      <c r="V1005" s="1704"/>
      <c r="W1005" s="1704"/>
      <c r="X1005" s="1704"/>
      <c r="Y1005" s="1704"/>
      <c r="Z1005" s="1704"/>
      <c r="AA1005" s="1704"/>
      <c r="AB1005" s="1704"/>
      <c r="AC1005" s="1704"/>
      <c r="AD1005" s="1704"/>
      <c r="AE1005" s="1705"/>
      <c r="AF1005" s="44"/>
      <c r="AG1005" s="11"/>
      <c r="AH1005" s="11"/>
      <c r="AI1005" s="48"/>
      <c r="AJ1005" s="1663"/>
      <c r="AK1005" s="1664"/>
      <c r="AL1005" s="1664"/>
      <c r="AM1005" s="1664"/>
      <c r="AN1005" s="1664"/>
      <c r="AO1005" s="1664"/>
      <c r="AP1005" s="1664"/>
      <c r="AQ1005" s="1665"/>
      <c r="AR1005" s="1173"/>
      <c r="AS1005" s="1173"/>
      <c r="AT1005" s="1173"/>
      <c r="AU1005" s="1173"/>
      <c r="AV1005" s="1173"/>
      <c r="AW1005" s="1173"/>
      <c r="AX1005" s="1173"/>
      <c r="AY1005" s="719">
        <f>ROUNDDOWN(X1048/I1048,2)</f>
        <v>0.5</v>
      </c>
      <c r="AZ1005" s="2"/>
      <c r="BB1005" s="2"/>
    </row>
    <row r="1006" spans="1:55" ht="13" customHeight="1">
      <c r="A1006" s="11"/>
      <c r="B1006" s="1182"/>
      <c r="C1006" s="1183"/>
      <c r="D1006" s="1706"/>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45"/>
      <c r="AG1006" s="5"/>
      <c r="AH1006" s="5"/>
      <c r="AI1006" s="46"/>
      <c r="AJ1006" s="1666"/>
      <c r="AK1006" s="1667"/>
      <c r="AL1006" s="1667"/>
      <c r="AM1006" s="1667"/>
      <c r="AN1006" s="1667"/>
      <c r="AO1006" s="1667"/>
      <c r="AP1006" s="1667"/>
      <c r="AQ1006" s="1668"/>
      <c r="AR1006" s="1173"/>
      <c r="AS1006" s="1173"/>
      <c r="AT1006" s="1173"/>
      <c r="AU1006" s="1173"/>
      <c r="AV1006" s="1173"/>
      <c r="AW1006" s="1173"/>
      <c r="AX1006" s="1173"/>
      <c r="AY1006" s="719">
        <f>ROUNDDOWN(X1052/I1052,2)</f>
        <v>0.3</v>
      </c>
      <c r="AZ1006" s="2"/>
      <c r="BB1006" s="2"/>
    </row>
    <row r="1007" spans="1:55" ht="13" customHeight="1">
      <c r="A1007" s="11"/>
      <c r="B1007" s="1179"/>
      <c r="C1007" s="214" t="s">
        <v>1691</v>
      </c>
      <c r="D1007" s="1700" t="s">
        <v>1692</v>
      </c>
      <c r="E1007" s="1701"/>
      <c r="F1007" s="1701"/>
      <c r="G1007" s="1701"/>
      <c r="H1007" s="1701"/>
      <c r="I1007" s="1701"/>
      <c r="J1007" s="1701"/>
      <c r="K1007" s="1701"/>
      <c r="L1007" s="1701"/>
      <c r="M1007" s="1701"/>
      <c r="N1007" s="1701"/>
      <c r="O1007" s="1701"/>
      <c r="P1007" s="1701"/>
      <c r="Q1007" s="1701"/>
      <c r="R1007" s="1701"/>
      <c r="S1007" s="1701"/>
      <c r="T1007" s="1701"/>
      <c r="U1007" s="1701"/>
      <c r="V1007" s="1701"/>
      <c r="W1007" s="1701"/>
      <c r="X1007" s="1701"/>
      <c r="Y1007" s="1701"/>
      <c r="Z1007" s="1701"/>
      <c r="AA1007" s="1701"/>
      <c r="AB1007" s="1701"/>
      <c r="AC1007" s="1701"/>
      <c r="AD1007" s="1701"/>
      <c r="AE1007" s="1702"/>
      <c r="AF1007" s="49"/>
      <c r="AG1007" s="1686" t="s">
        <v>695</v>
      </c>
      <c r="AH1007" s="1687"/>
      <c r="AI1007" s="50"/>
      <c r="AJ1007" s="1660">
        <f>ROUND(IF(AG1007="yes",AJ992*0.1,0),0)</f>
        <v>0</v>
      </c>
      <c r="AK1007" s="1661"/>
      <c r="AL1007" s="1661"/>
      <c r="AM1007" s="1661"/>
      <c r="AN1007" s="1661"/>
      <c r="AO1007" s="1661"/>
      <c r="AP1007" s="1661"/>
      <c r="AQ1007" s="1662"/>
      <c r="AR1007" s="1173"/>
      <c r="AS1007" s="1173"/>
      <c r="AT1007" s="1173"/>
      <c r="AU1007" s="1173"/>
      <c r="AV1007" s="1173"/>
      <c r="AW1007" s="1173"/>
      <c r="AX1007" s="1173"/>
      <c r="BB1007" s="2"/>
    </row>
    <row r="1008" spans="1:55" ht="13" customHeight="1">
      <c r="A1008" s="11"/>
      <c r="B1008" s="44"/>
      <c r="C1008" s="1184"/>
      <c r="D1008" s="1633" t="s">
        <v>1693</v>
      </c>
      <c r="E1008" s="1634"/>
      <c r="F1008" s="1634"/>
      <c r="G1008" s="1634"/>
      <c r="H1008" s="1634"/>
      <c r="I1008" s="1634"/>
      <c r="J1008" s="1634"/>
      <c r="K1008" s="1634"/>
      <c r="L1008" s="1634"/>
      <c r="M1008" s="1634"/>
      <c r="N1008" s="1634"/>
      <c r="O1008" s="1634"/>
      <c r="P1008" s="1634"/>
      <c r="Q1008" s="1634"/>
      <c r="R1008" s="1634"/>
      <c r="S1008" s="1634"/>
      <c r="T1008" s="1634"/>
      <c r="U1008" s="1634"/>
      <c r="V1008" s="1634"/>
      <c r="W1008" s="1634"/>
      <c r="X1008" s="1634"/>
      <c r="Y1008" s="1634"/>
      <c r="Z1008" s="1634"/>
      <c r="AA1008" s="1634"/>
      <c r="AB1008" s="1634"/>
      <c r="AC1008" s="1634"/>
      <c r="AD1008" s="1634"/>
      <c r="AE1008" s="1635"/>
      <c r="AF1008" s="44"/>
      <c r="AI1008" s="48"/>
      <c r="AJ1008" s="1663"/>
      <c r="AK1008" s="1664"/>
      <c r="AL1008" s="1664"/>
      <c r="AM1008" s="1664"/>
      <c r="AN1008" s="1664"/>
      <c r="AO1008" s="1664"/>
      <c r="AP1008" s="1664"/>
      <c r="AQ1008" s="1665"/>
      <c r="AR1008" s="1173"/>
      <c r="AS1008" s="1173"/>
      <c r="AT1008" s="1173"/>
      <c r="AU1008" s="1173"/>
      <c r="AV1008" s="1173"/>
      <c r="AW1008" s="1173"/>
      <c r="AX1008" s="1173"/>
    </row>
    <row r="1009" spans="1:51" ht="13" customHeight="1">
      <c r="A1009" s="11"/>
      <c r="B1009" s="44"/>
      <c r="C1009" s="1184"/>
      <c r="D1009" s="1633"/>
      <c r="E1009" s="1634"/>
      <c r="F1009" s="1634"/>
      <c r="G1009" s="1634"/>
      <c r="H1009" s="1634"/>
      <c r="I1009" s="1634"/>
      <c r="J1009" s="1634"/>
      <c r="K1009" s="1634"/>
      <c r="L1009" s="1634"/>
      <c r="M1009" s="1634"/>
      <c r="N1009" s="1634"/>
      <c r="O1009" s="1634"/>
      <c r="P1009" s="1634"/>
      <c r="Q1009" s="1634"/>
      <c r="R1009" s="1634"/>
      <c r="S1009" s="1634"/>
      <c r="T1009" s="1634"/>
      <c r="U1009" s="1634"/>
      <c r="V1009" s="1634"/>
      <c r="W1009" s="1634"/>
      <c r="X1009" s="1634"/>
      <c r="Y1009" s="1634"/>
      <c r="Z1009" s="1634"/>
      <c r="AA1009" s="1634"/>
      <c r="AB1009" s="1634"/>
      <c r="AC1009" s="1634"/>
      <c r="AD1009" s="1634"/>
      <c r="AE1009" s="1635"/>
      <c r="AF1009" s="44"/>
      <c r="AG1009" s="11"/>
      <c r="AH1009" s="11"/>
      <c r="AI1009" s="48"/>
      <c r="AJ1009" s="1663"/>
      <c r="AK1009" s="1664"/>
      <c r="AL1009" s="1664"/>
      <c r="AM1009" s="1664"/>
      <c r="AN1009" s="1664"/>
      <c r="AO1009" s="1664"/>
      <c r="AP1009" s="1664"/>
      <c r="AQ1009" s="1665"/>
      <c r="AR1009" s="1173"/>
      <c r="AS1009" s="1173"/>
      <c r="AT1009" s="1173"/>
      <c r="AU1009" s="1173"/>
      <c r="AV1009" s="1173"/>
      <c r="AW1009" s="1173"/>
      <c r="AX1009" s="1173"/>
    </row>
    <row r="1010" spans="1:51" ht="13" customHeight="1">
      <c r="A1010" s="11"/>
      <c r="B1010" s="1185"/>
      <c r="C1010" s="1183"/>
      <c r="D1010" s="1678"/>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80"/>
      <c r="AF1010" s="45"/>
      <c r="AG1010" s="5"/>
      <c r="AH1010" s="5"/>
      <c r="AI1010" s="46"/>
      <c r="AJ1010" s="1666"/>
      <c r="AK1010" s="1667"/>
      <c r="AL1010" s="1667"/>
      <c r="AM1010" s="1667"/>
      <c r="AN1010" s="1667"/>
      <c r="AO1010" s="1667"/>
      <c r="AP1010" s="1667"/>
      <c r="AQ1010" s="1668"/>
      <c r="AR1010" s="1173"/>
      <c r="AS1010" s="1173"/>
      <c r="AT1010" s="1173"/>
      <c r="AU1010" s="1173"/>
      <c r="AV1010" s="1173"/>
      <c r="AW1010" s="1173"/>
      <c r="AX1010" s="1173"/>
    </row>
    <row r="1011" spans="1:51" ht="13" customHeight="1">
      <c r="A1011" s="11"/>
      <c r="B1011" s="47"/>
      <c r="C1011" s="214" t="s">
        <v>1694</v>
      </c>
      <c r="D1011" s="1700" t="s">
        <v>1695</v>
      </c>
      <c r="E1011" s="1701"/>
      <c r="F1011" s="1701"/>
      <c r="G1011" s="1701"/>
      <c r="H1011" s="1701"/>
      <c r="I1011" s="1701"/>
      <c r="J1011" s="1701"/>
      <c r="K1011" s="1701"/>
      <c r="L1011" s="1701"/>
      <c r="M1011" s="1701"/>
      <c r="N1011" s="1701"/>
      <c r="O1011" s="1701"/>
      <c r="P1011" s="1701"/>
      <c r="Q1011" s="1701"/>
      <c r="R1011" s="1701"/>
      <c r="S1011" s="1701"/>
      <c r="T1011" s="1701"/>
      <c r="U1011" s="1701"/>
      <c r="V1011" s="1701"/>
      <c r="W1011" s="1701"/>
      <c r="X1011" s="1701"/>
      <c r="Y1011" s="1701"/>
      <c r="Z1011" s="1701"/>
      <c r="AA1011" s="1701"/>
      <c r="AB1011" s="1701"/>
      <c r="AC1011" s="1701"/>
      <c r="AD1011" s="1701"/>
      <c r="AE1011" s="1702"/>
      <c r="AF1011" s="47"/>
      <c r="AG1011" s="1686" t="s">
        <v>695</v>
      </c>
      <c r="AH1011" s="1687"/>
      <c r="AI1011" s="50"/>
      <c r="AJ1011" s="1660">
        <f>ROUND(IF(AG1011="yes",AJ992*0.02,0),0)</f>
        <v>0</v>
      </c>
      <c r="AK1011" s="1661"/>
      <c r="AL1011" s="1661"/>
      <c r="AM1011" s="1661"/>
      <c r="AN1011" s="1661"/>
      <c r="AO1011" s="1661"/>
      <c r="AP1011" s="1661"/>
      <c r="AQ1011" s="1662"/>
      <c r="AR1011" s="1173"/>
      <c r="AS1011" s="1173"/>
      <c r="AT1011" s="1173"/>
      <c r="AU1011" s="1173"/>
      <c r="AV1011" s="1173"/>
      <c r="AW1011" s="1173"/>
      <c r="AX1011" s="1173"/>
      <c r="AY1011" s="1186">
        <f>IF(SUM(AY1015:AY1023)&lt;=0.2,SUM(AY1015:AY1023),0.2)</f>
        <v>0</v>
      </c>
    </row>
    <row r="1012" spans="1:51" ht="14.25" customHeight="1">
      <c r="A1012" s="11"/>
      <c r="B1012" s="44"/>
      <c r="C1012" s="1184"/>
      <c r="D1012" s="1678" t="s">
        <v>1696</v>
      </c>
      <c r="E1012" s="1679"/>
      <c r="F1012" s="1679"/>
      <c r="G1012" s="1679"/>
      <c r="H1012" s="1679"/>
      <c r="I1012" s="1679"/>
      <c r="J1012" s="1679"/>
      <c r="K1012" s="1679"/>
      <c r="L1012" s="1679"/>
      <c r="M1012" s="1679"/>
      <c r="N1012" s="1679"/>
      <c r="O1012" s="1679"/>
      <c r="P1012" s="1679"/>
      <c r="Q1012" s="1679"/>
      <c r="R1012" s="1679"/>
      <c r="S1012" s="1679"/>
      <c r="T1012" s="1679"/>
      <c r="U1012" s="1679"/>
      <c r="V1012" s="1679"/>
      <c r="W1012" s="1679"/>
      <c r="X1012" s="1679"/>
      <c r="Y1012" s="1679"/>
      <c r="Z1012" s="1679"/>
      <c r="AA1012" s="1679"/>
      <c r="AB1012" s="1679"/>
      <c r="AC1012" s="1679"/>
      <c r="AD1012" s="1679"/>
      <c r="AE1012" s="1680"/>
      <c r="AF1012" s="45"/>
      <c r="AG1012" s="5"/>
      <c r="AH1012" s="5"/>
      <c r="AI1012" s="46"/>
      <c r="AJ1012" s="1666"/>
      <c r="AK1012" s="1667"/>
      <c r="AL1012" s="1667"/>
      <c r="AM1012" s="1667"/>
      <c r="AN1012" s="1667"/>
      <c r="AO1012" s="1667"/>
      <c r="AP1012" s="1667"/>
      <c r="AQ1012" s="1668"/>
      <c r="AR1012" s="1173"/>
      <c r="AS1012" s="1173"/>
      <c r="AT1012" s="1173"/>
      <c r="AU1012" s="1173"/>
      <c r="AV1012" s="1173"/>
      <c r="AW1012" s="1173"/>
      <c r="AX1012" s="1173"/>
    </row>
    <row r="1013" spans="1:51" ht="13" customHeight="1">
      <c r="A1013" s="11"/>
      <c r="B1013" s="47"/>
      <c r="C1013" s="214" t="s">
        <v>1697</v>
      </c>
      <c r="D1013" s="1700" t="s">
        <v>1698</v>
      </c>
      <c r="E1013" s="1701"/>
      <c r="F1013" s="1701"/>
      <c r="G1013" s="1701"/>
      <c r="H1013" s="1701"/>
      <c r="I1013" s="1701"/>
      <c r="J1013" s="1701"/>
      <c r="K1013" s="1701"/>
      <c r="L1013" s="1701"/>
      <c r="M1013" s="1701"/>
      <c r="N1013" s="1701"/>
      <c r="O1013" s="1701"/>
      <c r="P1013" s="1701"/>
      <c r="Q1013" s="1701"/>
      <c r="R1013" s="1701"/>
      <c r="S1013" s="1701"/>
      <c r="T1013" s="1701"/>
      <c r="U1013" s="1701"/>
      <c r="V1013" s="1701"/>
      <c r="W1013" s="1701"/>
      <c r="X1013" s="1701"/>
      <c r="Y1013" s="1701"/>
      <c r="Z1013" s="1701"/>
      <c r="AA1013" s="1701"/>
      <c r="AB1013" s="1701"/>
      <c r="AC1013" s="1701"/>
      <c r="AD1013" s="1701"/>
      <c r="AE1013" s="1702"/>
      <c r="AF1013" s="47"/>
      <c r="AG1013" s="1686" t="s">
        <v>695</v>
      </c>
      <c r="AH1013" s="1687"/>
      <c r="AI1013" s="47"/>
      <c r="AJ1013" s="1660">
        <f>ROUND(IF(AG1013="yes",AJ992*0.02,0),0)</f>
        <v>0</v>
      </c>
      <c r="AK1013" s="1661"/>
      <c r="AL1013" s="1661"/>
      <c r="AM1013" s="1661"/>
      <c r="AN1013" s="1661"/>
      <c r="AO1013" s="1661"/>
      <c r="AP1013" s="1661"/>
      <c r="AQ1013" s="1662"/>
      <c r="AR1013" s="1173"/>
      <c r="AS1013" s="1173"/>
      <c r="AT1013" s="1173"/>
      <c r="AU1013" s="1173"/>
      <c r="AV1013" s="1173"/>
      <c r="AW1013" s="1173"/>
      <c r="AX1013" s="1173"/>
      <c r="AY1013" s="1187">
        <f>IF(A1065="Yes",0.2,0)</f>
        <v>0.2</v>
      </c>
    </row>
    <row r="1014" spans="1:51" ht="13" customHeight="1">
      <c r="A1014" s="11"/>
      <c r="B1014" s="44"/>
      <c r="C1014" s="1184"/>
      <c r="D1014" s="1633" t="s">
        <v>1699</v>
      </c>
      <c r="E1014" s="1634"/>
      <c r="F1014" s="1634"/>
      <c r="G1014" s="1634"/>
      <c r="H1014" s="1634"/>
      <c r="I1014" s="1634"/>
      <c r="J1014" s="1634"/>
      <c r="K1014" s="1634"/>
      <c r="L1014" s="1634"/>
      <c r="M1014" s="1634"/>
      <c r="N1014" s="1634"/>
      <c r="O1014" s="1634"/>
      <c r="P1014" s="1634"/>
      <c r="Q1014" s="1634"/>
      <c r="R1014" s="1634"/>
      <c r="S1014" s="1634"/>
      <c r="T1014" s="1634"/>
      <c r="U1014" s="1634"/>
      <c r="V1014" s="1634"/>
      <c r="W1014" s="1634"/>
      <c r="X1014" s="1634"/>
      <c r="Y1014" s="1634"/>
      <c r="Z1014" s="1634"/>
      <c r="AA1014" s="1634"/>
      <c r="AB1014" s="1634"/>
      <c r="AC1014" s="1634"/>
      <c r="AD1014" s="1634"/>
      <c r="AE1014" s="1635"/>
      <c r="AF1014" s="1780" t="str">
        <f>IF(AND(AG1013="yes",T212&lt;&gt;1),"The project may not be eligible for this boost","")</f>
        <v/>
      </c>
      <c r="AG1014" s="1781"/>
      <c r="AH1014" s="1781"/>
      <c r="AI1014" s="1782"/>
      <c r="AJ1014" s="1663"/>
      <c r="AK1014" s="1664"/>
      <c r="AL1014" s="1664"/>
      <c r="AM1014" s="1664"/>
      <c r="AN1014" s="1664"/>
      <c r="AO1014" s="1664"/>
      <c r="AP1014" s="1664"/>
      <c r="AQ1014" s="1665"/>
      <c r="AR1014" s="1173"/>
      <c r="AS1014" s="1173"/>
      <c r="AT1014" s="1173"/>
      <c r="AU1014" s="1173"/>
      <c r="AV1014" s="1173"/>
      <c r="AW1014" s="1173"/>
      <c r="AX1014" s="1173"/>
      <c r="AY1014" s="1187">
        <f>IF(A1067="Yes",0.15,0)</f>
        <v>0</v>
      </c>
    </row>
    <row r="1015" spans="1:51" ht="13" customHeight="1">
      <c r="A1015" s="11"/>
      <c r="B1015" s="1182"/>
      <c r="C1015" s="1183"/>
      <c r="D1015" s="1678"/>
      <c r="E1015" s="1679"/>
      <c r="F1015" s="1679"/>
      <c r="G1015" s="1679"/>
      <c r="H1015" s="1679"/>
      <c r="I1015" s="1679"/>
      <c r="J1015" s="1679"/>
      <c r="K1015" s="1679"/>
      <c r="L1015" s="1679"/>
      <c r="M1015" s="1679"/>
      <c r="N1015" s="1679"/>
      <c r="O1015" s="1679"/>
      <c r="P1015" s="1679"/>
      <c r="Q1015" s="1679"/>
      <c r="R1015" s="1679"/>
      <c r="S1015" s="1679"/>
      <c r="T1015" s="1679"/>
      <c r="U1015" s="1679"/>
      <c r="V1015" s="1679"/>
      <c r="W1015" s="1679"/>
      <c r="X1015" s="1679"/>
      <c r="Y1015" s="1679"/>
      <c r="Z1015" s="1679"/>
      <c r="AA1015" s="1679"/>
      <c r="AB1015" s="1679"/>
      <c r="AC1015" s="1679"/>
      <c r="AD1015" s="1679"/>
      <c r="AE1015" s="1680"/>
      <c r="AF1015" s="1783"/>
      <c r="AG1015" s="1784"/>
      <c r="AH1015" s="1784"/>
      <c r="AI1015" s="1785"/>
      <c r="AJ1015" s="1666"/>
      <c r="AK1015" s="1667"/>
      <c r="AL1015" s="1667"/>
      <c r="AM1015" s="1667"/>
      <c r="AN1015" s="1667"/>
      <c r="AO1015" s="1667"/>
      <c r="AP1015" s="1667"/>
      <c r="AQ1015" s="1668"/>
      <c r="AR1015" s="1173"/>
      <c r="AS1015" s="1173"/>
      <c r="AT1015" s="1173"/>
      <c r="AU1015" s="1173"/>
      <c r="AV1015" s="1173"/>
      <c r="AW1015" s="1173"/>
      <c r="AX1015" s="1173"/>
      <c r="AY1015" s="1187">
        <f>IF(A1070="Yes",0.05,0)</f>
        <v>0</v>
      </c>
    </row>
    <row r="1016" spans="1:51" ht="13" customHeight="1">
      <c r="A1016" s="11"/>
      <c r="B1016" s="47"/>
      <c r="C1016" s="214" t="s">
        <v>1700</v>
      </c>
      <c r="D1016" s="1669" t="s">
        <v>1701</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47"/>
      <c r="AG1016" s="1686" t="s">
        <v>847</v>
      </c>
      <c r="AH1016" s="1687"/>
      <c r="AI1016" s="50"/>
      <c r="AJ1016" s="1660">
        <f>IF(AG1016="yes",AJ992*AY1011,0)</f>
        <v>0</v>
      </c>
      <c r="AK1016" s="1661"/>
      <c r="AL1016" s="1661"/>
      <c r="AM1016" s="1661"/>
      <c r="AN1016" s="1661"/>
      <c r="AO1016" s="1661"/>
      <c r="AP1016" s="1661"/>
      <c r="AQ1016" s="1662"/>
      <c r="AR1016" s="1173"/>
      <c r="AS1016" s="1173"/>
      <c r="AT1016" s="1173"/>
      <c r="AU1016" s="1173"/>
      <c r="AV1016" s="1173"/>
      <c r="AW1016" s="1173"/>
      <c r="AX1016" s="1173"/>
      <c r="AY1016" s="1187">
        <f>IF(A1075="Yes",0.02,0)</f>
        <v>0</v>
      </c>
    </row>
    <row r="1017" spans="1:51" ht="13" customHeight="1">
      <c r="A1017" s="11"/>
      <c r="B1017" s="44"/>
      <c r="C1017" s="1184"/>
      <c r="D1017" s="1633" t="s">
        <v>1702</v>
      </c>
      <c r="E1017" s="1634"/>
      <c r="F1017" s="1634"/>
      <c r="G1017" s="1634"/>
      <c r="H1017" s="1634"/>
      <c r="I1017" s="1634"/>
      <c r="J1017" s="1634"/>
      <c r="K1017" s="1634"/>
      <c r="L1017" s="1634"/>
      <c r="M1017" s="1634"/>
      <c r="N1017" s="1634"/>
      <c r="O1017" s="1634"/>
      <c r="P1017" s="1634"/>
      <c r="Q1017" s="1634"/>
      <c r="R1017" s="1634"/>
      <c r="S1017" s="1634"/>
      <c r="T1017" s="1634"/>
      <c r="U1017" s="1634"/>
      <c r="V1017" s="1634"/>
      <c r="W1017" s="1634"/>
      <c r="X1017" s="1634"/>
      <c r="Y1017" s="1634"/>
      <c r="Z1017" s="1634"/>
      <c r="AA1017" s="1634"/>
      <c r="AB1017" s="1634"/>
      <c r="AC1017" s="1634"/>
      <c r="AD1017" s="1634"/>
      <c r="AE1017" s="1635"/>
      <c r="AF1017" s="1774" t="str">
        <f>IF(AND(AG1016="Yes",AY1011=0),AY1027,"")</f>
        <v>Select items beginning on row #1061 to claim this boost</v>
      </c>
      <c r="AG1017" s="1775"/>
      <c r="AH1017" s="1775"/>
      <c r="AI1017" s="1776"/>
      <c r="AJ1017" s="1663"/>
      <c r="AK1017" s="1664"/>
      <c r="AL1017" s="1664"/>
      <c r="AM1017" s="1664"/>
      <c r="AN1017" s="1664"/>
      <c r="AO1017" s="1664"/>
      <c r="AP1017" s="1664"/>
      <c r="AQ1017" s="1665"/>
      <c r="AR1017" s="1173"/>
      <c r="AS1017" s="1173"/>
      <c r="AT1017" s="1173"/>
      <c r="AU1017" s="1173"/>
      <c r="AV1017" s="1173"/>
      <c r="AW1017" s="1173"/>
      <c r="AX1017" s="1173"/>
      <c r="AY1017" s="1187">
        <f>IF(A1081="Yes",0.04,0)</f>
        <v>0</v>
      </c>
    </row>
    <row r="1018" spans="1:51" ht="13" customHeight="1">
      <c r="A1018" s="11"/>
      <c r="B1018" s="44"/>
      <c r="C1018" s="1184"/>
      <c r="D1018" s="1633"/>
      <c r="E1018" s="1634"/>
      <c r="F1018" s="1634"/>
      <c r="G1018" s="1634"/>
      <c r="H1018" s="1634"/>
      <c r="I1018" s="1634"/>
      <c r="J1018" s="1634"/>
      <c r="K1018" s="1634"/>
      <c r="L1018" s="1634"/>
      <c r="M1018" s="1634"/>
      <c r="N1018" s="1634"/>
      <c r="O1018" s="1634"/>
      <c r="P1018" s="1634"/>
      <c r="Q1018" s="1634"/>
      <c r="R1018" s="1634"/>
      <c r="S1018" s="1634"/>
      <c r="T1018" s="1634"/>
      <c r="U1018" s="1634"/>
      <c r="V1018" s="1634"/>
      <c r="W1018" s="1634"/>
      <c r="X1018" s="1634"/>
      <c r="Y1018" s="1634"/>
      <c r="Z1018" s="1634"/>
      <c r="AA1018" s="1634"/>
      <c r="AB1018" s="1634"/>
      <c r="AC1018" s="1634"/>
      <c r="AD1018" s="1634"/>
      <c r="AE1018" s="1635"/>
      <c r="AF1018" s="1774"/>
      <c r="AG1018" s="1775"/>
      <c r="AH1018" s="1775"/>
      <c r="AI1018" s="1776"/>
      <c r="AJ1018" s="1663"/>
      <c r="AK1018" s="1664"/>
      <c r="AL1018" s="1664"/>
      <c r="AM1018" s="1664"/>
      <c r="AN1018" s="1664"/>
      <c r="AO1018" s="1664"/>
      <c r="AP1018" s="1664"/>
      <c r="AQ1018" s="1665"/>
      <c r="AR1018" s="1173"/>
      <c r="AS1018" s="1173"/>
      <c r="AT1018" s="1173"/>
      <c r="AU1018" s="1173"/>
      <c r="AV1018" s="1173"/>
      <c r="AW1018" s="1173"/>
      <c r="AX1018" s="1173"/>
      <c r="AY1018" s="1187">
        <f>IF(A1085="Yes",0.04,0)</f>
        <v>0</v>
      </c>
    </row>
    <row r="1019" spans="1:51" ht="13" customHeight="1">
      <c r="A1019" s="11"/>
      <c r="B1019" s="1188"/>
      <c r="C1019" s="1181"/>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1777"/>
      <c r="AG1019" s="1778"/>
      <c r="AH1019" s="1778"/>
      <c r="AI1019" s="1779"/>
      <c r="AJ1019" s="1666"/>
      <c r="AK1019" s="1667"/>
      <c r="AL1019" s="1667"/>
      <c r="AM1019" s="1667"/>
      <c r="AN1019" s="1667"/>
      <c r="AO1019" s="1667"/>
      <c r="AP1019" s="1667"/>
      <c r="AQ1019" s="1668"/>
      <c r="AR1019" s="1173"/>
      <c r="AS1019" s="1173"/>
      <c r="AT1019" s="1173"/>
      <c r="AU1019" s="1173"/>
      <c r="AV1019" s="1173"/>
      <c r="AW1019" s="1173"/>
      <c r="AX1019" s="1173"/>
      <c r="AY1019" s="1187">
        <f>IF(A1089="Yes",0.01,0)</f>
        <v>0</v>
      </c>
    </row>
    <row r="1020" spans="1:51" ht="13" customHeight="1">
      <c r="A1020" s="11"/>
      <c r="B1020" s="47"/>
      <c r="C1020" s="214" t="s">
        <v>1703</v>
      </c>
      <c r="D1020" s="1745" t="s">
        <v>1704</v>
      </c>
      <c r="E1020" s="1746"/>
      <c r="F1020" s="1746"/>
      <c r="G1020" s="1746"/>
      <c r="H1020" s="1746"/>
      <c r="I1020" s="1746"/>
      <c r="J1020" s="1746"/>
      <c r="K1020" s="1746"/>
      <c r="L1020" s="1746"/>
      <c r="M1020" s="1746"/>
      <c r="N1020" s="1746"/>
      <c r="O1020" s="1746"/>
      <c r="P1020" s="1746"/>
      <c r="Q1020" s="1746"/>
      <c r="R1020" s="1746"/>
      <c r="S1020" s="1746"/>
      <c r="T1020" s="1746"/>
      <c r="U1020" s="1746"/>
      <c r="V1020" s="1746"/>
      <c r="W1020" s="1746"/>
      <c r="X1020" s="1746"/>
      <c r="Y1020" s="1746"/>
      <c r="Z1020" s="1746"/>
      <c r="AA1020" s="1746"/>
      <c r="AB1020" s="1746"/>
      <c r="AC1020" s="1746"/>
      <c r="AD1020" s="1746"/>
      <c r="AE1020" s="1747"/>
      <c r="AF1020" s="47"/>
      <c r="AG1020" s="1686" t="s">
        <v>695</v>
      </c>
      <c r="AH1020" s="1687"/>
      <c r="AI1020" s="50"/>
      <c r="AJ1020" s="1660">
        <f>ROUND(IF(AND(AG1020="Yes",J1024&lt;&gt;"N/A",AF1023&lt;&gt;""),MIN(AF1023,(0.15*AJ992)),0),0)</f>
        <v>0</v>
      </c>
      <c r="AK1020" s="1661"/>
      <c r="AL1020" s="1661"/>
      <c r="AM1020" s="1661"/>
      <c r="AN1020" s="1661"/>
      <c r="AO1020" s="1661"/>
      <c r="AP1020" s="1661"/>
      <c r="AQ1020" s="1662"/>
      <c r="AR1020" s="1173"/>
      <c r="AS1020" s="1173"/>
      <c r="AT1020" s="1173"/>
      <c r="AU1020" s="1173"/>
      <c r="AV1020" s="1173"/>
      <c r="AW1020" s="1173"/>
      <c r="AX1020" s="1173"/>
      <c r="AY1020" s="1187">
        <f>IF(A1094="Yes",0.01,0)</f>
        <v>0</v>
      </c>
    </row>
    <row r="1021" spans="1:51" ht="13" customHeight="1">
      <c r="A1021" s="11"/>
      <c r="B1021" s="1188"/>
      <c r="C1021" s="1189"/>
      <c r="D1021" s="1748"/>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762" t="str">
        <f>IF(AG1020="yes","Please Select Type and Enter Amount:","")</f>
        <v/>
      </c>
      <c r="AG1021" s="1763"/>
      <c r="AH1021" s="1763"/>
      <c r="AI1021" s="1764"/>
      <c r="AJ1021" s="1663"/>
      <c r="AK1021" s="1664"/>
      <c r="AL1021" s="1664"/>
      <c r="AM1021" s="1664"/>
      <c r="AN1021" s="1664"/>
      <c r="AO1021" s="1664"/>
      <c r="AP1021" s="1664"/>
      <c r="AQ1021" s="1665"/>
      <c r="AR1021" s="1173"/>
      <c r="AS1021" s="1173"/>
      <c r="AT1021" s="1173"/>
      <c r="AU1021" s="1173"/>
      <c r="AV1021" s="1173"/>
      <c r="AW1021" s="1173"/>
      <c r="AX1021" s="1173"/>
      <c r="AY1021" s="1187">
        <f>IF(A1097="Yes",0.01,0)</f>
        <v>0</v>
      </c>
    </row>
    <row r="1022" spans="1:51" ht="13" customHeight="1">
      <c r="A1022" s="11"/>
      <c r="B1022" s="1188"/>
      <c r="C1022" s="1189"/>
      <c r="D1022" s="1633" t="s">
        <v>1705</v>
      </c>
      <c r="E1022" s="1634"/>
      <c r="F1022" s="1634"/>
      <c r="G1022" s="1634"/>
      <c r="H1022" s="1634"/>
      <c r="I1022" s="1634"/>
      <c r="J1022" s="1634"/>
      <c r="K1022" s="1634"/>
      <c r="L1022" s="1634"/>
      <c r="M1022" s="1634"/>
      <c r="N1022" s="1634"/>
      <c r="O1022" s="1634"/>
      <c r="P1022" s="1634"/>
      <c r="Q1022" s="1634"/>
      <c r="R1022" s="1634"/>
      <c r="S1022" s="1634"/>
      <c r="T1022" s="1634"/>
      <c r="U1022" s="1634"/>
      <c r="V1022" s="1634"/>
      <c r="W1022" s="1634"/>
      <c r="X1022" s="1634"/>
      <c r="Y1022" s="1634"/>
      <c r="Z1022" s="1634"/>
      <c r="AA1022" s="1634"/>
      <c r="AB1022" s="1634"/>
      <c r="AC1022" s="1634"/>
      <c r="AD1022" s="1634"/>
      <c r="AE1022" s="1635"/>
      <c r="AF1022" s="1762"/>
      <c r="AG1022" s="1763"/>
      <c r="AH1022" s="1763"/>
      <c r="AI1022" s="1764"/>
      <c r="AJ1022" s="1663"/>
      <c r="AK1022" s="1664"/>
      <c r="AL1022" s="1664"/>
      <c r="AM1022" s="1664"/>
      <c r="AN1022" s="1664"/>
      <c r="AO1022" s="1664"/>
      <c r="AP1022" s="1664"/>
      <c r="AQ1022" s="1665"/>
      <c r="AR1022" s="1173"/>
      <c r="AS1022" s="1173"/>
      <c r="AT1022" s="1173"/>
      <c r="AU1022" s="1173"/>
      <c r="AV1022" s="1173"/>
      <c r="AW1022" s="1173"/>
      <c r="AX1022" s="1173"/>
      <c r="AY1022" s="1187">
        <f>IF(A1100="Yes",0.02,0)</f>
        <v>0</v>
      </c>
    </row>
    <row r="1023" spans="1:51" ht="13" customHeight="1">
      <c r="A1023" s="11"/>
      <c r="B1023" s="1188"/>
      <c r="C1023" s="1189"/>
      <c r="D1023" s="1633"/>
      <c r="E1023" s="1634"/>
      <c r="F1023" s="1634"/>
      <c r="G1023" s="1634"/>
      <c r="H1023" s="1634"/>
      <c r="I1023" s="1634"/>
      <c r="J1023" s="1634"/>
      <c r="K1023" s="1634"/>
      <c r="L1023" s="1634"/>
      <c r="M1023" s="1634"/>
      <c r="N1023" s="1634"/>
      <c r="O1023" s="1634"/>
      <c r="P1023" s="1634"/>
      <c r="Q1023" s="1634"/>
      <c r="R1023" s="1634"/>
      <c r="S1023" s="1634"/>
      <c r="T1023" s="1634"/>
      <c r="U1023" s="1634"/>
      <c r="V1023" s="1634"/>
      <c r="W1023" s="1634"/>
      <c r="X1023" s="1634"/>
      <c r="Y1023" s="1634"/>
      <c r="Z1023" s="1634"/>
      <c r="AA1023" s="1634"/>
      <c r="AB1023" s="1634"/>
      <c r="AC1023" s="1634"/>
      <c r="AD1023" s="1634"/>
      <c r="AE1023" s="1635"/>
      <c r="AF1023" s="1709"/>
      <c r="AG1023" s="1709"/>
      <c r="AH1023" s="1709"/>
      <c r="AI1023" s="1709"/>
      <c r="AJ1023" s="1663"/>
      <c r="AK1023" s="1664"/>
      <c r="AL1023" s="1664"/>
      <c r="AM1023" s="1664"/>
      <c r="AN1023" s="1664"/>
      <c r="AO1023" s="1664"/>
      <c r="AP1023" s="1664"/>
      <c r="AQ1023" s="1665"/>
      <c r="AR1023" s="1173"/>
      <c r="AS1023" s="1173"/>
      <c r="AT1023" s="1173"/>
      <c r="AU1023" s="1173"/>
      <c r="AV1023" s="1173"/>
      <c r="AW1023" s="1173"/>
      <c r="AX1023" s="1173"/>
      <c r="AY1023" s="683">
        <f>IF(A1103="Yes",0.02,0)</f>
        <v>0</v>
      </c>
    </row>
    <row r="1024" spans="1:51" ht="13" customHeight="1">
      <c r="A1024" s="11"/>
      <c r="B1024" s="1188"/>
      <c r="C1024" s="1189"/>
      <c r="D1024" s="375" t="s">
        <v>1706</v>
      </c>
      <c r="E1024" s="51"/>
      <c r="F1024" s="51"/>
      <c r="G1024" s="708"/>
      <c r="H1024" s="708"/>
      <c r="I1024" s="33"/>
      <c r="J1024" s="1754" t="s">
        <v>800</v>
      </c>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709"/>
      <c r="AG1024" s="1709"/>
      <c r="AH1024" s="1709"/>
      <c r="AI1024" s="1709"/>
      <c r="AJ1024" s="1666"/>
      <c r="AK1024" s="1667"/>
      <c r="AL1024" s="1667"/>
      <c r="AM1024" s="1667"/>
      <c r="AN1024" s="1667"/>
      <c r="AO1024" s="1667"/>
      <c r="AP1024" s="1667"/>
      <c r="AQ1024" s="1668"/>
      <c r="AR1024" s="1173"/>
      <c r="AS1024" s="1173"/>
      <c r="AT1024" s="1173"/>
      <c r="AU1024" s="1173"/>
      <c r="AV1024" s="1173"/>
      <c r="AW1024" s="1173"/>
      <c r="AX1024" s="1173"/>
      <c r="AY1024" s="1173"/>
    </row>
    <row r="1025" spans="1:57" ht="13" customHeight="1">
      <c r="A1025" s="11"/>
      <c r="B1025" s="47"/>
      <c r="C1025" s="214" t="s">
        <v>1707</v>
      </c>
      <c r="D1025" s="1700" t="s">
        <v>1708</v>
      </c>
      <c r="E1025" s="1701"/>
      <c r="F1025" s="1701"/>
      <c r="G1025" s="1701"/>
      <c r="H1025" s="1701"/>
      <c r="I1025" s="1701"/>
      <c r="J1025" s="1701"/>
      <c r="K1025" s="1701"/>
      <c r="L1025" s="1701"/>
      <c r="M1025" s="1701"/>
      <c r="N1025" s="1701"/>
      <c r="O1025" s="1701"/>
      <c r="P1025" s="1701"/>
      <c r="Q1025" s="1701"/>
      <c r="R1025" s="1701"/>
      <c r="S1025" s="1701"/>
      <c r="T1025" s="1701"/>
      <c r="U1025" s="1701"/>
      <c r="V1025" s="1701"/>
      <c r="W1025" s="1701"/>
      <c r="X1025" s="1701"/>
      <c r="Y1025" s="1701"/>
      <c r="Z1025" s="1701"/>
      <c r="AA1025" s="1701"/>
      <c r="AB1025" s="1701"/>
      <c r="AC1025" s="1701"/>
      <c r="AD1025" s="1701"/>
      <c r="AE1025" s="1702"/>
      <c r="AF1025" s="47"/>
      <c r="AG1025" s="1686" t="s">
        <v>847</v>
      </c>
      <c r="AH1025" s="1687"/>
      <c r="AI1025" s="50"/>
      <c r="AJ1025" s="1660">
        <f>ROUND(IF(AG1025="Yes",AF1027,0),0)</f>
        <v>809809</v>
      </c>
      <c r="AK1025" s="1661"/>
      <c r="AL1025" s="1661"/>
      <c r="AM1025" s="1661"/>
      <c r="AN1025" s="1661"/>
      <c r="AO1025" s="1661"/>
      <c r="AP1025" s="1661"/>
      <c r="AQ1025" s="1662"/>
      <c r="AR1025" s="1173"/>
      <c r="AS1025" s="1173"/>
      <c r="AT1025" s="1173"/>
      <c r="AU1025" s="1173"/>
      <c r="AV1025" s="1173"/>
      <c r="AW1025" s="1173"/>
      <c r="AX1025" s="1173"/>
      <c r="AY1025" s="1173"/>
    </row>
    <row r="1026" spans="1:57" ht="13" customHeight="1">
      <c r="A1026" s="11"/>
      <c r="B1026" s="44"/>
      <c r="C1026" s="1184"/>
      <c r="D1026" s="1633" t="s">
        <v>1709</v>
      </c>
      <c r="E1026" s="1634"/>
      <c r="F1026" s="1634"/>
      <c r="G1026" s="1634"/>
      <c r="H1026" s="1634"/>
      <c r="I1026" s="1634"/>
      <c r="J1026" s="1634"/>
      <c r="K1026" s="1634"/>
      <c r="L1026" s="1634"/>
      <c r="M1026" s="1634"/>
      <c r="N1026" s="1634"/>
      <c r="O1026" s="1634"/>
      <c r="P1026" s="1634"/>
      <c r="Q1026" s="1634"/>
      <c r="R1026" s="1634"/>
      <c r="S1026" s="1634"/>
      <c r="T1026" s="1634"/>
      <c r="U1026" s="1634"/>
      <c r="V1026" s="1634"/>
      <c r="W1026" s="1634"/>
      <c r="X1026" s="1634"/>
      <c r="Y1026" s="1634"/>
      <c r="Z1026" s="1634"/>
      <c r="AA1026" s="1634"/>
      <c r="AB1026" s="1634"/>
      <c r="AC1026" s="1634"/>
      <c r="AD1026" s="1634"/>
      <c r="AE1026" s="1635"/>
      <c r="AF1026" s="1751" t="str">
        <f>IF(AG1025="yes","Enter Amount:","")</f>
        <v>Enter Amount:</v>
      </c>
      <c r="AG1026" s="1752"/>
      <c r="AH1026" s="1752"/>
      <c r="AI1026" s="1753"/>
      <c r="AJ1026" s="1663"/>
      <c r="AK1026" s="1664"/>
      <c r="AL1026" s="1664"/>
      <c r="AM1026" s="1664"/>
      <c r="AN1026" s="1664"/>
      <c r="AO1026" s="1664"/>
      <c r="AP1026" s="1664"/>
      <c r="AQ1026" s="1665"/>
      <c r="AR1026" s="1173"/>
      <c r="AS1026" s="1173"/>
      <c r="AT1026" s="1173"/>
      <c r="AU1026" s="1173"/>
      <c r="AV1026" s="1173"/>
      <c r="AW1026" s="1173"/>
      <c r="AX1026" s="1173"/>
      <c r="AY1026" s="1173"/>
    </row>
    <row r="1027" spans="1:57" ht="13" customHeight="1">
      <c r="A1027" s="11"/>
      <c r="B1027" s="44"/>
      <c r="C1027" s="1184"/>
      <c r="D1027" s="1633"/>
      <c r="E1027" s="1634"/>
      <c r="F1027" s="1634"/>
      <c r="G1027" s="1634"/>
      <c r="H1027" s="1634"/>
      <c r="I1027" s="1634"/>
      <c r="J1027" s="1634"/>
      <c r="K1027" s="1634"/>
      <c r="L1027" s="1634"/>
      <c r="M1027" s="1634"/>
      <c r="N1027" s="1634"/>
      <c r="O1027" s="1634"/>
      <c r="P1027" s="1634"/>
      <c r="Q1027" s="1634"/>
      <c r="R1027" s="1634"/>
      <c r="S1027" s="1634"/>
      <c r="T1027" s="1634"/>
      <c r="U1027" s="1634"/>
      <c r="V1027" s="1634"/>
      <c r="W1027" s="1634"/>
      <c r="X1027" s="1634"/>
      <c r="Y1027" s="1634"/>
      <c r="Z1027" s="1634"/>
      <c r="AA1027" s="1634"/>
      <c r="AB1027" s="1634"/>
      <c r="AC1027" s="1634"/>
      <c r="AD1027" s="1634"/>
      <c r="AE1027" s="1635"/>
      <c r="AF1027" s="1709">
        <f>+'Sources and Uses Budget'!B85</f>
        <v>809809</v>
      </c>
      <c r="AG1027" s="1709"/>
      <c r="AH1027" s="1709"/>
      <c r="AI1027" s="1709"/>
      <c r="AJ1027" s="1663"/>
      <c r="AK1027" s="1664"/>
      <c r="AL1027" s="1664"/>
      <c r="AM1027" s="1664"/>
      <c r="AN1027" s="1664"/>
      <c r="AO1027" s="1664"/>
      <c r="AP1027" s="1664"/>
      <c r="AQ1027" s="1665"/>
      <c r="AR1027" s="1173"/>
      <c r="AS1027" s="1173"/>
      <c r="AT1027" s="1173"/>
      <c r="AU1027" s="1173"/>
      <c r="AV1027" s="1173"/>
      <c r="AW1027" s="1173"/>
      <c r="AX1027" s="1173"/>
      <c r="AY1027" s="1173" t="str">
        <f>"Select items beginning on row #"&amp;TEXT(ROW(A1061),"#")&amp;" to claim this boost"</f>
        <v>Select items beginning on row #1061 to claim this boost</v>
      </c>
    </row>
    <row r="1028" spans="1:57" ht="13" customHeight="1">
      <c r="A1028" s="11"/>
      <c r="B1028" s="1185"/>
      <c r="C1028" s="1189"/>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09"/>
      <c r="AG1028" s="1709"/>
      <c r="AH1028" s="1709"/>
      <c r="AI1028" s="1709"/>
      <c r="AJ1028" s="1666"/>
      <c r="AK1028" s="1667"/>
      <c r="AL1028" s="1667"/>
      <c r="AM1028" s="1667"/>
      <c r="AN1028" s="1667"/>
      <c r="AO1028" s="1667"/>
      <c r="AP1028" s="1667"/>
      <c r="AQ1028" s="1668"/>
      <c r="AR1028" s="1173"/>
      <c r="AS1028" s="1173"/>
      <c r="AT1028" s="1173"/>
      <c r="AU1028" s="1173"/>
      <c r="AV1028" s="1173"/>
      <c r="AW1028" s="1173"/>
      <c r="AX1028" s="1173"/>
      <c r="AY1028" s="1173"/>
    </row>
    <row r="1029" spans="1:57" ht="13" customHeight="1">
      <c r="A1029" s="11"/>
      <c r="B1029" s="47"/>
      <c r="C1029" s="214" t="s">
        <v>1710</v>
      </c>
      <c r="D1029" s="1669" t="s">
        <v>1711</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47"/>
      <c r="AG1029" s="1686" t="s">
        <v>695</v>
      </c>
      <c r="AH1029" s="1687"/>
      <c r="AI1029" s="50"/>
      <c r="AJ1029" s="1660">
        <f>ROUND(IF(AG1029="yes",(AJ992*0.1),0),0)</f>
        <v>0</v>
      </c>
      <c r="AK1029" s="1661"/>
      <c r="AL1029" s="1661"/>
      <c r="AM1029" s="1661"/>
      <c r="AN1029" s="1661"/>
      <c r="AO1029" s="1661"/>
      <c r="AP1029" s="1661"/>
      <c r="AQ1029" s="1662"/>
      <c r="AR1029" s="1173"/>
      <c r="AS1029" s="1173"/>
      <c r="AT1029" s="1173"/>
      <c r="AU1029" s="1173"/>
      <c r="AV1029" s="1173"/>
      <c r="AW1029" s="1173"/>
      <c r="AX1029" s="1173"/>
      <c r="AY1029" s="1173"/>
    </row>
    <row r="1030" spans="1:57" ht="13" customHeight="1">
      <c r="A1030" s="11"/>
      <c r="B1030" s="44"/>
      <c r="C1030" s="1184"/>
      <c r="D1030" s="1633" t="s">
        <v>1712</v>
      </c>
      <c r="E1030" s="1634"/>
      <c r="F1030" s="1634"/>
      <c r="G1030" s="1634"/>
      <c r="H1030" s="1634"/>
      <c r="I1030" s="1634"/>
      <c r="J1030" s="1634"/>
      <c r="K1030" s="1634"/>
      <c r="L1030" s="1634"/>
      <c r="M1030" s="1634"/>
      <c r="N1030" s="1634"/>
      <c r="O1030" s="1634"/>
      <c r="P1030" s="1634"/>
      <c r="Q1030" s="1634"/>
      <c r="R1030" s="1634"/>
      <c r="S1030" s="1634"/>
      <c r="T1030" s="1634"/>
      <c r="U1030" s="1634"/>
      <c r="V1030" s="1634"/>
      <c r="W1030" s="1634"/>
      <c r="X1030" s="1634"/>
      <c r="Y1030" s="1634"/>
      <c r="Z1030" s="1634"/>
      <c r="AA1030" s="1634"/>
      <c r="AB1030" s="1634"/>
      <c r="AC1030" s="1634"/>
      <c r="AD1030" s="1634"/>
      <c r="AE1030" s="1635"/>
      <c r="AF1030" s="44"/>
      <c r="AG1030" s="11"/>
      <c r="AH1030" s="11"/>
      <c r="AI1030" s="48"/>
      <c r="AJ1030" s="1663"/>
      <c r="AK1030" s="1664"/>
      <c r="AL1030" s="1664"/>
      <c r="AM1030" s="1664"/>
      <c r="AN1030" s="1664"/>
      <c r="AO1030" s="1664"/>
      <c r="AP1030" s="1664"/>
      <c r="AQ1030" s="1665"/>
      <c r="AR1030" s="1173"/>
      <c r="AS1030" s="1173"/>
      <c r="AT1030" s="1173"/>
      <c r="AU1030" s="1173"/>
      <c r="AV1030" s="1173"/>
      <c r="AW1030" s="1173"/>
      <c r="AX1030" s="1173"/>
      <c r="AY1030" s="1173"/>
    </row>
    <row r="1031" spans="1:57" ht="13" customHeight="1">
      <c r="A1031" s="11"/>
      <c r="B1031" s="45"/>
      <c r="C1031" s="1184"/>
      <c r="D1031" s="1678"/>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44"/>
      <c r="AG1031" s="11"/>
      <c r="AH1031" s="11"/>
      <c r="AI1031" s="48"/>
      <c r="AJ1031" s="1666"/>
      <c r="AK1031" s="1667"/>
      <c r="AL1031" s="1667"/>
      <c r="AM1031" s="1667"/>
      <c r="AN1031" s="1667"/>
      <c r="AO1031" s="1667"/>
      <c r="AP1031" s="1667"/>
      <c r="AQ1031" s="1668"/>
      <c r="AR1031" s="1173"/>
      <c r="AS1031" s="1173"/>
      <c r="AT1031" s="1173"/>
      <c r="AU1031" s="1173"/>
      <c r="AV1031" s="1173"/>
      <c r="AW1031" s="1173"/>
      <c r="AX1031" s="1173"/>
      <c r="AY1031" s="1173"/>
    </row>
    <row r="1032" spans="1:57" ht="13" customHeight="1">
      <c r="A1032" s="11"/>
      <c r="B1032" s="44"/>
      <c r="C1032" s="214" t="s">
        <v>22</v>
      </c>
      <c r="D1032" s="1700" t="s">
        <v>1713</v>
      </c>
      <c r="E1032" s="1701"/>
      <c r="F1032" s="1701"/>
      <c r="G1032" s="1701"/>
      <c r="H1032" s="1701"/>
      <c r="I1032" s="1701"/>
      <c r="J1032" s="1701"/>
      <c r="K1032" s="1701"/>
      <c r="L1032" s="1701"/>
      <c r="M1032" s="1701"/>
      <c r="N1032" s="1701"/>
      <c r="O1032" s="1701"/>
      <c r="P1032" s="1701"/>
      <c r="Q1032" s="1701"/>
      <c r="R1032" s="1701"/>
      <c r="S1032" s="1701"/>
      <c r="T1032" s="1701"/>
      <c r="U1032" s="1701"/>
      <c r="V1032" s="1701"/>
      <c r="W1032" s="1701"/>
      <c r="X1032" s="1701"/>
      <c r="Y1032" s="1701"/>
      <c r="Z1032" s="1701"/>
      <c r="AA1032" s="1701"/>
      <c r="AB1032" s="1701"/>
      <c r="AC1032" s="1701"/>
      <c r="AD1032" s="1701"/>
      <c r="AE1032" s="1702"/>
      <c r="AF1032" s="47"/>
      <c r="AG1032" s="1686" t="s">
        <v>695</v>
      </c>
      <c r="AH1032" s="1687"/>
      <c r="AI1032" s="50"/>
      <c r="AJ1032" s="1660">
        <f>ROUND(IF(AG1032="yes",(AJ992*0.15),0),0)</f>
        <v>0</v>
      </c>
      <c r="AK1032" s="1661"/>
      <c r="AL1032" s="1661"/>
      <c r="AM1032" s="1661"/>
      <c r="AN1032" s="1661"/>
      <c r="AO1032" s="1661"/>
      <c r="AP1032" s="1661"/>
      <c r="AQ1032" s="1662"/>
      <c r="AR1032" s="1173"/>
      <c r="AS1032" s="1173"/>
      <c r="AT1032" s="1173"/>
      <c r="AU1032" s="1173"/>
      <c r="AV1032" s="1173"/>
      <c r="AW1032" s="1173"/>
      <c r="AX1032" s="1173"/>
      <c r="AY1032" s="1173"/>
    </row>
    <row r="1033" spans="1:57" ht="13" customHeight="1">
      <c r="A1033" s="11"/>
      <c r="B1033" s="44"/>
      <c r="C1033" s="1184"/>
      <c r="D1033" s="1734" t="s">
        <v>1714</v>
      </c>
      <c r="E1033" s="1223"/>
      <c r="F1033" s="1223"/>
      <c r="G1033" s="1223"/>
      <c r="H1033" s="1223"/>
      <c r="I1033" s="1223"/>
      <c r="J1033" s="1223"/>
      <c r="K1033" s="1223"/>
      <c r="L1033" s="1223"/>
      <c r="M1033" s="1223"/>
      <c r="N1033" s="1223"/>
      <c r="O1033" s="1223"/>
      <c r="P1033" s="1223"/>
      <c r="Q1033" s="1223"/>
      <c r="R1033" s="1223"/>
      <c r="S1033" s="1223"/>
      <c r="T1033" s="1223"/>
      <c r="U1033" s="1223"/>
      <c r="V1033" s="1223"/>
      <c r="W1033" s="1223"/>
      <c r="X1033" s="1223"/>
      <c r="Y1033" s="1223"/>
      <c r="Z1033" s="1223"/>
      <c r="AA1033" s="1223"/>
      <c r="AB1033" s="1223"/>
      <c r="AC1033" s="1223"/>
      <c r="AD1033" s="1223"/>
      <c r="AE1033" s="1735"/>
      <c r="AF1033" s="721"/>
      <c r="AG1033" s="722"/>
      <c r="AH1033" s="722"/>
      <c r="AI1033" s="723"/>
      <c r="AJ1033" s="1663"/>
      <c r="AK1033" s="1664"/>
      <c r="AL1033" s="1664"/>
      <c r="AM1033" s="1664"/>
      <c r="AN1033" s="1664"/>
      <c r="AO1033" s="1664"/>
      <c r="AP1033" s="1664"/>
      <c r="AQ1033" s="1665"/>
      <c r="AR1033" s="1173"/>
      <c r="AS1033" s="1173"/>
      <c r="AT1033" s="1173"/>
      <c r="AU1033" s="1173"/>
      <c r="AV1033" s="1173"/>
      <c r="AW1033" s="1173"/>
      <c r="AX1033" s="1173"/>
      <c r="AY1033" s="1173"/>
    </row>
    <row r="1034" spans="1:57" ht="13" customHeight="1">
      <c r="A1034" s="11"/>
      <c r="B1034" s="44"/>
      <c r="C1034" s="1184"/>
      <c r="D1034" s="1734"/>
      <c r="E1034" s="1223"/>
      <c r="F1034" s="1223"/>
      <c r="G1034" s="1223"/>
      <c r="H1034" s="1223"/>
      <c r="I1034" s="1223"/>
      <c r="J1034" s="1223"/>
      <c r="K1034" s="1223"/>
      <c r="L1034" s="1223"/>
      <c r="M1034" s="1223"/>
      <c r="N1034" s="1223"/>
      <c r="O1034" s="1223"/>
      <c r="P1034" s="1223"/>
      <c r="Q1034" s="1223"/>
      <c r="R1034" s="1223"/>
      <c r="S1034" s="1223"/>
      <c r="T1034" s="1223"/>
      <c r="U1034" s="1223"/>
      <c r="V1034" s="1223"/>
      <c r="W1034" s="1223"/>
      <c r="X1034" s="1223"/>
      <c r="Y1034" s="1223"/>
      <c r="Z1034" s="1223"/>
      <c r="AA1034" s="1223"/>
      <c r="AB1034" s="1223"/>
      <c r="AC1034" s="1223"/>
      <c r="AD1034" s="1223"/>
      <c r="AE1034" s="1735"/>
      <c r="AF1034" s="721"/>
      <c r="AG1034" s="722"/>
      <c r="AH1034" s="722"/>
      <c r="AI1034" s="723"/>
      <c r="AJ1034" s="1663"/>
      <c r="AK1034" s="1664"/>
      <c r="AL1034" s="1664"/>
      <c r="AM1034" s="1664"/>
      <c r="AN1034" s="1664"/>
      <c r="AO1034" s="1664"/>
      <c r="AP1034" s="1664"/>
      <c r="AQ1034" s="1665"/>
      <c r="AR1034" s="1173"/>
      <c r="AS1034" s="1173"/>
      <c r="AT1034" s="1173"/>
      <c r="AU1034" s="1173"/>
      <c r="AV1034" s="1173"/>
      <c r="AW1034" s="1173"/>
      <c r="AX1034" s="1173"/>
      <c r="AY1034" s="1173"/>
    </row>
    <row r="1035" spans="1:57" ht="13" customHeight="1">
      <c r="A1035" s="11"/>
      <c r="B1035" s="44"/>
      <c r="C1035" s="1184"/>
      <c r="D1035" s="1736"/>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737"/>
      <c r="AF1035" s="724"/>
      <c r="AG1035" s="725"/>
      <c r="AH1035" s="725"/>
      <c r="AI1035" s="726"/>
      <c r="AJ1035" s="1666"/>
      <c r="AK1035" s="1667"/>
      <c r="AL1035" s="1667"/>
      <c r="AM1035" s="1667"/>
      <c r="AN1035" s="1667"/>
      <c r="AO1035" s="1667"/>
      <c r="AP1035" s="1667"/>
      <c r="AQ1035" s="1668"/>
      <c r="AR1035" s="1173"/>
      <c r="AS1035" s="1173"/>
      <c r="AT1035" s="1173"/>
      <c r="AU1035" s="1173"/>
      <c r="AV1035" s="1173"/>
      <c r="AW1035" s="1173"/>
      <c r="AX1035" s="1173"/>
      <c r="AY1035" s="1173"/>
    </row>
    <row r="1036" spans="1:57" ht="13" customHeight="1">
      <c r="A1036" s="11"/>
      <c r="B1036" s="44"/>
      <c r="C1036" s="214" t="s">
        <v>22</v>
      </c>
      <c r="D1036" s="1669" t="s">
        <v>1715</v>
      </c>
      <c r="E1036" s="1670"/>
      <c r="F1036" s="1670"/>
      <c r="G1036" s="1670"/>
      <c r="H1036" s="1670"/>
      <c r="I1036" s="1670"/>
      <c r="J1036" s="1670"/>
      <c r="K1036" s="1670"/>
      <c r="L1036" s="1670"/>
      <c r="M1036" s="1670"/>
      <c r="N1036" s="1670"/>
      <c r="O1036" s="1670"/>
      <c r="P1036" s="1670"/>
      <c r="Q1036" s="1670"/>
      <c r="R1036" s="1670"/>
      <c r="S1036" s="1670"/>
      <c r="T1036" s="1670"/>
      <c r="U1036" s="1670"/>
      <c r="V1036" s="1670"/>
      <c r="W1036" s="1670"/>
      <c r="X1036" s="1670"/>
      <c r="Y1036" s="1670"/>
      <c r="Z1036" s="1670"/>
      <c r="AA1036" s="1670"/>
      <c r="AB1036" s="1670"/>
      <c r="AC1036" s="1670"/>
      <c r="AD1036" s="1670"/>
      <c r="AE1036" s="1671"/>
      <c r="AF1036" s="44"/>
      <c r="AG1036" s="1688" t="s">
        <v>695</v>
      </c>
      <c r="AH1036" s="1689"/>
      <c r="AI1036" s="48"/>
      <c r="AJ1036" s="1660">
        <f>ROUND(IF(AND(AG1036="yes",AJ1032=0),(AJ992*0.1),0),0)</f>
        <v>0</v>
      </c>
      <c r="AK1036" s="1661"/>
      <c r="AL1036" s="1661"/>
      <c r="AM1036" s="1661"/>
      <c r="AN1036" s="1661"/>
      <c r="AO1036" s="1661"/>
      <c r="AP1036" s="1661"/>
      <c r="AQ1036" s="1662"/>
      <c r="AR1036" s="1173"/>
      <c r="AS1036" s="1173"/>
      <c r="AT1036" s="1173"/>
      <c r="AU1036" s="1173"/>
      <c r="AV1036" s="1173"/>
      <c r="AW1036" s="1173"/>
      <c r="AX1036" s="1173"/>
      <c r="AY1036" s="1173"/>
    </row>
    <row r="1037" spans="1:57" ht="13" customHeight="1">
      <c r="A1037" s="11"/>
      <c r="B1037" s="44"/>
      <c r="C1037" s="1184"/>
      <c r="D1037" s="1734" t="s">
        <v>1716</v>
      </c>
      <c r="E1037" s="1223"/>
      <c r="F1037" s="1223"/>
      <c r="G1037" s="1223"/>
      <c r="H1037" s="1223"/>
      <c r="I1037" s="1223"/>
      <c r="J1037" s="1223"/>
      <c r="K1037" s="1223"/>
      <c r="L1037" s="1223"/>
      <c r="M1037" s="1223"/>
      <c r="N1037" s="1223"/>
      <c r="O1037" s="1223"/>
      <c r="P1037" s="1223"/>
      <c r="Q1037" s="1223"/>
      <c r="R1037" s="1223"/>
      <c r="S1037" s="1223"/>
      <c r="T1037" s="1223"/>
      <c r="U1037" s="1223"/>
      <c r="V1037" s="1223"/>
      <c r="W1037" s="1223"/>
      <c r="X1037" s="1223"/>
      <c r="Y1037" s="1223"/>
      <c r="Z1037" s="1223"/>
      <c r="AA1037" s="1223"/>
      <c r="AB1037" s="1223"/>
      <c r="AC1037" s="1223"/>
      <c r="AD1037" s="1223"/>
      <c r="AE1037" s="1735"/>
      <c r="AF1037" s="44"/>
      <c r="AG1037" s="11"/>
      <c r="AH1037" s="11"/>
      <c r="AI1037" s="48"/>
      <c r="AJ1037" s="1663"/>
      <c r="AK1037" s="1664"/>
      <c r="AL1037" s="1664"/>
      <c r="AM1037" s="1664"/>
      <c r="AN1037" s="1664"/>
      <c r="AO1037" s="1664"/>
      <c r="AP1037" s="1664"/>
      <c r="AQ1037" s="1665"/>
      <c r="AR1037" s="1173"/>
      <c r="AS1037" s="1173"/>
      <c r="AT1037" s="1173"/>
      <c r="AU1037" s="1173"/>
      <c r="AV1037" s="1173"/>
      <c r="AW1037" s="1173"/>
      <c r="AX1037" s="1173"/>
      <c r="AY1037" s="1173"/>
    </row>
    <row r="1038" spans="1:57" ht="13" customHeight="1">
      <c r="A1038" s="11"/>
      <c r="B1038" s="44"/>
      <c r="C1038" s="1184"/>
      <c r="D1038" s="1734"/>
      <c r="E1038" s="1223"/>
      <c r="F1038" s="1223"/>
      <c r="G1038" s="1223"/>
      <c r="H1038" s="1223"/>
      <c r="I1038" s="1223"/>
      <c r="J1038" s="1223"/>
      <c r="K1038" s="1223"/>
      <c r="L1038" s="1223"/>
      <c r="M1038" s="1223"/>
      <c r="N1038" s="1223"/>
      <c r="O1038" s="1223"/>
      <c r="P1038" s="1223"/>
      <c r="Q1038" s="1223"/>
      <c r="R1038" s="1223"/>
      <c r="S1038" s="1223"/>
      <c r="T1038" s="1223"/>
      <c r="U1038" s="1223"/>
      <c r="V1038" s="1223"/>
      <c r="W1038" s="1223"/>
      <c r="X1038" s="1223"/>
      <c r="Y1038" s="1223"/>
      <c r="Z1038" s="1223"/>
      <c r="AA1038" s="1223"/>
      <c r="AB1038" s="1223"/>
      <c r="AC1038" s="1223"/>
      <c r="AD1038" s="1223"/>
      <c r="AE1038" s="1735"/>
      <c r="AF1038" s="44"/>
      <c r="AG1038" s="11"/>
      <c r="AH1038" s="11"/>
      <c r="AI1038" s="48"/>
      <c r="AJ1038" s="1663"/>
      <c r="AK1038" s="1664"/>
      <c r="AL1038" s="1664"/>
      <c r="AM1038" s="1664"/>
      <c r="AN1038" s="1664"/>
      <c r="AO1038" s="1664"/>
      <c r="AP1038" s="1664"/>
      <c r="AQ1038" s="1665"/>
      <c r="AR1038" s="1173"/>
      <c r="AS1038" s="1173"/>
      <c r="AT1038" s="1173"/>
      <c r="AU1038" s="1173"/>
      <c r="AV1038" s="1173"/>
      <c r="AW1038" s="1173"/>
      <c r="AX1038" s="1173"/>
      <c r="AY1038" s="1173"/>
      <c r="BA1038" s="961">
        <f>IFERROR(('Sources and Uses Budget'!$C$17+'Sources and Uses Budget'!$C$18+'Sources and Uses Budget'!$C$22)/$AG$437,0)</f>
        <v>0</v>
      </c>
      <c r="BB1038" s="961" t="s">
        <v>1717</v>
      </c>
      <c r="BC1038" s="961"/>
      <c r="BD1038" s="961"/>
      <c r="BE1038" s="961"/>
    </row>
    <row r="1039" spans="1:57" ht="13" customHeight="1">
      <c r="A1039" s="11"/>
      <c r="B1039" s="44"/>
      <c r="C1039" s="1184"/>
      <c r="D1039" s="1734"/>
      <c r="E1039" s="1223"/>
      <c r="F1039" s="1223"/>
      <c r="G1039" s="1223"/>
      <c r="H1039" s="1223"/>
      <c r="I1039" s="1223"/>
      <c r="J1039" s="1223"/>
      <c r="K1039" s="1223"/>
      <c r="L1039" s="1223"/>
      <c r="M1039" s="1223"/>
      <c r="N1039" s="1223"/>
      <c r="O1039" s="1223"/>
      <c r="P1039" s="1223"/>
      <c r="Q1039" s="1223"/>
      <c r="R1039" s="1223"/>
      <c r="S1039" s="1223"/>
      <c r="T1039" s="1223"/>
      <c r="U1039" s="1223"/>
      <c r="V1039" s="1223"/>
      <c r="W1039" s="1223"/>
      <c r="X1039" s="1223"/>
      <c r="Y1039" s="1223"/>
      <c r="Z1039" s="1223"/>
      <c r="AA1039" s="1223"/>
      <c r="AB1039" s="1223"/>
      <c r="AC1039" s="1223"/>
      <c r="AD1039" s="1223"/>
      <c r="AE1039" s="1735"/>
      <c r="AF1039" s="44"/>
      <c r="AG1039" s="11"/>
      <c r="AH1039" s="11"/>
      <c r="AI1039" s="48"/>
      <c r="AJ1039" s="1663"/>
      <c r="AK1039" s="1664"/>
      <c r="AL1039" s="1664"/>
      <c r="AM1039" s="1664"/>
      <c r="AN1039" s="1664"/>
      <c r="AO1039" s="1664"/>
      <c r="AP1039" s="1664"/>
      <c r="AQ1039" s="1665"/>
      <c r="AR1039" s="1173"/>
      <c r="AS1039" s="1173"/>
      <c r="AT1039" s="1173"/>
      <c r="AU1039" s="1173"/>
      <c r="AV1039" s="1173"/>
      <c r="AW1039" s="1173"/>
      <c r="AX1039" s="1173"/>
      <c r="AY1039" s="1173"/>
      <c r="BA1039">
        <f>IFERROR((($CI$753+$CM$753)/$AG$440),0)</f>
        <v>0.810126582278481</v>
      </c>
      <c r="BB1039" s="2" t="s">
        <v>1718</v>
      </c>
    </row>
    <row r="1040" spans="1:57" ht="13" customHeight="1">
      <c r="A1040" s="11"/>
      <c r="B1040" s="44"/>
      <c r="C1040" s="1184"/>
      <c r="D1040" s="1736"/>
      <c r="E1040" s="1506"/>
      <c r="F1040" s="1506"/>
      <c r="G1040" s="1506"/>
      <c r="H1040" s="1506"/>
      <c r="I1040" s="1506"/>
      <c r="J1040" s="1506"/>
      <c r="K1040" s="1506"/>
      <c r="L1040" s="1506"/>
      <c r="M1040" s="1506"/>
      <c r="N1040" s="1506"/>
      <c r="O1040" s="1506"/>
      <c r="P1040" s="1506"/>
      <c r="Q1040" s="1506"/>
      <c r="R1040" s="1506"/>
      <c r="S1040" s="1506"/>
      <c r="T1040" s="1506"/>
      <c r="U1040" s="1506"/>
      <c r="V1040" s="1506"/>
      <c r="W1040" s="1506"/>
      <c r="X1040" s="1506"/>
      <c r="Y1040" s="1506"/>
      <c r="Z1040" s="1506"/>
      <c r="AA1040" s="1506"/>
      <c r="AB1040" s="1506"/>
      <c r="AC1040" s="1506"/>
      <c r="AD1040" s="1506"/>
      <c r="AE1040" s="1737"/>
      <c r="AF1040" s="44"/>
      <c r="AG1040" s="11"/>
      <c r="AH1040" s="11"/>
      <c r="AI1040" s="48"/>
      <c r="AJ1040" s="1663"/>
      <c r="AK1040" s="1664"/>
      <c r="AL1040" s="1664"/>
      <c r="AM1040" s="1664"/>
      <c r="AN1040" s="1664"/>
      <c r="AO1040" s="1664"/>
      <c r="AP1040" s="1664"/>
      <c r="AQ1040" s="1665"/>
      <c r="AR1040" s="1173"/>
      <c r="AS1040" s="1173"/>
      <c r="AT1040" s="1173"/>
      <c r="AU1040" s="1173"/>
      <c r="AV1040" s="1173"/>
      <c r="AW1040" s="1173"/>
      <c r="AX1040" s="1173"/>
      <c r="AY1040" s="1173"/>
      <c r="BA1040" t="b">
        <f>'Points System'!AJ164="Yes"</f>
        <v>0</v>
      </c>
      <c r="BB1040" s="2" t="s">
        <v>1719</v>
      </c>
    </row>
    <row r="1041" spans="1:56" ht="13" customHeight="1">
      <c r="A1041" s="11"/>
      <c r="B1041" s="47"/>
      <c r="C1041" s="76" t="s">
        <v>1720</v>
      </c>
      <c r="D1041" s="1700" t="s">
        <v>1721</v>
      </c>
      <c r="E1041" s="1701"/>
      <c r="F1041" s="1701"/>
      <c r="G1041" s="1701"/>
      <c r="H1041" s="1701"/>
      <c r="I1041" s="1701"/>
      <c r="J1041" s="1701"/>
      <c r="K1041" s="1701"/>
      <c r="L1041" s="1701"/>
      <c r="M1041" s="1701"/>
      <c r="N1041" s="1701"/>
      <c r="O1041" s="1701"/>
      <c r="P1041" s="1701"/>
      <c r="Q1041" s="1701"/>
      <c r="R1041" s="1701"/>
      <c r="S1041" s="1701"/>
      <c r="T1041" s="1701"/>
      <c r="U1041" s="1701"/>
      <c r="V1041" s="1701"/>
      <c r="W1041" s="1701"/>
      <c r="X1041" s="1701"/>
      <c r="Y1041" s="1701"/>
      <c r="Z1041" s="1701"/>
      <c r="AA1041" s="1701"/>
      <c r="AB1041" s="1701"/>
      <c r="AC1041" s="1701"/>
      <c r="AD1041" s="1701"/>
      <c r="AE1041" s="1702"/>
      <c r="AF1041" s="47"/>
      <c r="AG1041" s="1686" t="s">
        <v>695</v>
      </c>
      <c r="AH1041" s="1687"/>
      <c r="AI1041" s="50"/>
      <c r="AJ1041" s="1660">
        <f>ROUND(IF(AG1041="yes",(AJ992*0.1),0),0)</f>
        <v>0</v>
      </c>
      <c r="AK1041" s="1661"/>
      <c r="AL1041" s="1661"/>
      <c r="AM1041" s="1661"/>
      <c r="AN1041" s="1661"/>
      <c r="AO1041" s="1661"/>
      <c r="AP1041" s="1661"/>
      <c r="AQ1041" s="1662"/>
      <c r="AR1041" s="1173"/>
      <c r="AS1041" s="1173"/>
      <c r="AT1041" s="1173"/>
      <c r="AU1041" s="1173"/>
      <c r="AV1041" s="1173"/>
      <c r="AW1041" s="1173"/>
      <c r="AX1041" s="1173"/>
      <c r="AY1041" s="1173"/>
      <c r="BA1041">
        <f>Q212</f>
        <v>24</v>
      </c>
      <c r="BB1041" s="2" t="s">
        <v>1722</v>
      </c>
    </row>
    <row r="1042" spans="1:56" ht="13" customHeight="1">
      <c r="A1042" s="11"/>
      <c r="B1042" s="44"/>
      <c r="C1042" s="1184"/>
      <c r="D1042" s="1633" t="s">
        <v>1723</v>
      </c>
      <c r="E1042" s="1634"/>
      <c r="F1042" s="1634"/>
      <c r="G1042" s="1634"/>
      <c r="H1042" s="1634"/>
      <c r="I1042" s="1634"/>
      <c r="J1042" s="1634"/>
      <c r="K1042" s="1634"/>
      <c r="L1042" s="1634"/>
      <c r="M1042" s="1634"/>
      <c r="N1042" s="1634"/>
      <c r="O1042" s="1634"/>
      <c r="P1042" s="1634"/>
      <c r="Q1042" s="1634"/>
      <c r="R1042" s="1634"/>
      <c r="S1042" s="1634"/>
      <c r="T1042" s="1634"/>
      <c r="U1042" s="1634"/>
      <c r="V1042" s="1634"/>
      <c r="W1042" s="1634"/>
      <c r="X1042" s="1634"/>
      <c r="Y1042" s="1634"/>
      <c r="Z1042" s="1634"/>
      <c r="AA1042" s="1634"/>
      <c r="AB1042" s="1634"/>
      <c r="AC1042" s="1634"/>
      <c r="AD1042" s="1634"/>
      <c r="AE1042" s="1635"/>
      <c r="AF1042" s="44"/>
      <c r="AG1042" s="11"/>
      <c r="AH1042" s="11"/>
      <c r="AI1042" s="48"/>
      <c r="AJ1042" s="1663"/>
      <c r="AK1042" s="1664"/>
      <c r="AL1042" s="1664"/>
      <c r="AM1042" s="1664"/>
      <c r="AN1042" s="1664"/>
      <c r="AO1042" s="1664"/>
      <c r="AP1042" s="1664"/>
      <c r="AQ1042" s="1665"/>
      <c r="AR1042" s="1173"/>
      <c r="AS1042" s="1173"/>
      <c r="AT1042" s="1173"/>
      <c r="AU1042" s="1173"/>
      <c r="AV1042" s="1173"/>
      <c r="AW1042" s="1173"/>
      <c r="AX1042" s="1173"/>
      <c r="AY1042" s="1173"/>
      <c r="BA1042" s="962">
        <f>T212</f>
        <v>0.30379746835443039</v>
      </c>
      <c r="BB1042" s="2" t="s">
        <v>1724</v>
      </c>
    </row>
    <row r="1043" spans="1:56" ht="13" customHeight="1">
      <c r="A1043" s="11"/>
      <c r="B1043" s="44"/>
      <c r="C1043" s="1184"/>
      <c r="D1043" s="1633"/>
      <c r="E1043" s="1634"/>
      <c r="F1043" s="1634"/>
      <c r="G1043" s="1634"/>
      <c r="H1043" s="1634"/>
      <c r="I1043" s="1634"/>
      <c r="J1043" s="1634"/>
      <c r="K1043" s="1634"/>
      <c r="L1043" s="1634"/>
      <c r="M1043" s="1634"/>
      <c r="N1043" s="1634"/>
      <c r="O1043" s="1634"/>
      <c r="P1043" s="1634"/>
      <c r="Q1043" s="1634"/>
      <c r="R1043" s="1634"/>
      <c r="S1043" s="1634"/>
      <c r="T1043" s="1634"/>
      <c r="U1043" s="1634"/>
      <c r="V1043" s="1634"/>
      <c r="W1043" s="1634"/>
      <c r="X1043" s="1634"/>
      <c r="Y1043" s="1634"/>
      <c r="Z1043" s="1634"/>
      <c r="AA1043" s="1634"/>
      <c r="AB1043" s="1634"/>
      <c r="AC1043" s="1634"/>
      <c r="AD1043" s="1634"/>
      <c r="AE1043" s="1635"/>
      <c r="AF1043" s="44"/>
      <c r="AG1043" s="11"/>
      <c r="AH1043" s="11"/>
      <c r="AI1043" s="48"/>
      <c r="AJ1043" s="1663"/>
      <c r="AK1043" s="1664"/>
      <c r="AL1043" s="1664"/>
      <c r="AM1043" s="1664"/>
      <c r="AN1043" s="1664"/>
      <c r="AO1043" s="1664"/>
      <c r="AP1043" s="1664"/>
      <c r="AQ1043" s="1665"/>
      <c r="AR1043" s="1173"/>
      <c r="AS1043" s="1173"/>
      <c r="AT1043" s="1173"/>
      <c r="AU1043" s="1173"/>
      <c r="AV1043" s="1173"/>
      <c r="AW1043" s="1173"/>
      <c r="AX1043" s="1173"/>
      <c r="AY1043" s="1173"/>
    </row>
    <row r="1044" spans="1:56" ht="13" customHeight="1">
      <c r="A1044" s="11"/>
      <c r="B1044" s="44"/>
      <c r="C1044" s="1184"/>
      <c r="D1044" s="1678"/>
      <c r="E1044" s="1679"/>
      <c r="F1044" s="1679"/>
      <c r="G1044" s="1679"/>
      <c r="H1044" s="1679"/>
      <c r="I1044" s="1679"/>
      <c r="J1044" s="1679"/>
      <c r="K1044" s="1679"/>
      <c r="L1044" s="1679"/>
      <c r="M1044" s="1679"/>
      <c r="N1044" s="1679"/>
      <c r="O1044" s="1679"/>
      <c r="P1044" s="1679"/>
      <c r="Q1044" s="1679"/>
      <c r="R1044" s="1679"/>
      <c r="S1044" s="1679"/>
      <c r="T1044" s="1679"/>
      <c r="U1044" s="1679"/>
      <c r="V1044" s="1679"/>
      <c r="W1044" s="1679"/>
      <c r="X1044" s="1679"/>
      <c r="Y1044" s="1679"/>
      <c r="Z1044" s="1679"/>
      <c r="AA1044" s="1679"/>
      <c r="AB1044" s="1679"/>
      <c r="AC1044" s="1679"/>
      <c r="AD1044" s="1679"/>
      <c r="AE1044" s="1680"/>
      <c r="AF1044" s="44"/>
      <c r="AG1044" s="11"/>
      <c r="AH1044" s="11"/>
      <c r="AI1044" s="48"/>
      <c r="AJ1044" s="1666"/>
      <c r="AK1044" s="1667"/>
      <c r="AL1044" s="1667"/>
      <c r="AM1044" s="1667"/>
      <c r="AN1044" s="1667"/>
      <c r="AO1044" s="1667"/>
      <c r="AP1044" s="1667"/>
      <c r="AQ1044" s="1668"/>
      <c r="AR1044" s="1173"/>
      <c r="AS1044" s="1173"/>
      <c r="AT1044" s="1173"/>
      <c r="AU1044" s="1173"/>
      <c r="AV1044" s="1173"/>
      <c r="AW1044" s="1173"/>
      <c r="AX1044" s="1173"/>
      <c r="AY1044" s="1173"/>
    </row>
    <row r="1045" spans="1:56" ht="13" customHeight="1">
      <c r="A1045" s="11"/>
      <c r="B1045" s="47"/>
      <c r="C1045" s="76" t="s">
        <v>1725</v>
      </c>
      <c r="D1045" s="1669" t="s">
        <v>1726</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47"/>
      <c r="AG1045" s="1684" t="str">
        <f>IF(X1048&gt;0,"Yes","No")</f>
        <v>Yes</v>
      </c>
      <c r="AH1045" s="1685"/>
      <c r="AI1045" s="50"/>
      <c r="AJ1045" s="1660">
        <f>IF((X1048=0),0,AY1005*AJ992)</f>
        <v>14777984</v>
      </c>
      <c r="AK1045" s="1661"/>
      <c r="AL1045" s="1661"/>
      <c r="AM1045" s="1661"/>
      <c r="AN1045" s="1661"/>
      <c r="AO1045" s="1661"/>
      <c r="AP1045" s="1661"/>
      <c r="AQ1045" s="1662"/>
      <c r="AR1045" s="1173"/>
      <c r="AS1045" s="1173"/>
      <c r="AT1045" s="1173"/>
      <c r="AU1045" s="1173"/>
      <c r="AV1045" s="1173"/>
      <c r="AW1045" s="1173"/>
      <c r="AX1045" s="1173"/>
      <c r="AY1045" s="1173"/>
      <c r="AZ1045" s="959">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1727</v>
      </c>
      <c r="BB1045" s="2"/>
      <c r="BC1045" s="2"/>
      <c r="BD1045" s="2"/>
    </row>
    <row r="1046" spans="1:56" ht="13" customHeight="1">
      <c r="A1046" s="11"/>
      <c r="B1046" s="44"/>
      <c r="C1046" s="308"/>
      <c r="D1046" s="1633" t="s">
        <v>1728</v>
      </c>
      <c r="E1046" s="1634"/>
      <c r="F1046" s="1634"/>
      <c r="G1046" s="1634"/>
      <c r="H1046" s="1634"/>
      <c r="I1046" s="1634"/>
      <c r="J1046" s="1634"/>
      <c r="K1046" s="1634"/>
      <c r="L1046" s="1634"/>
      <c r="M1046" s="1634"/>
      <c r="N1046" s="1634"/>
      <c r="O1046" s="1634"/>
      <c r="P1046" s="1634"/>
      <c r="Q1046" s="1634"/>
      <c r="R1046" s="1634"/>
      <c r="S1046" s="1634"/>
      <c r="T1046" s="1634"/>
      <c r="U1046" s="1634"/>
      <c r="V1046" s="1634"/>
      <c r="W1046" s="1634"/>
      <c r="X1046" s="1634"/>
      <c r="Y1046" s="1634"/>
      <c r="Z1046" s="1634"/>
      <c r="AA1046" s="1634"/>
      <c r="AB1046" s="1634"/>
      <c r="AC1046" s="1634"/>
      <c r="AD1046" s="1634"/>
      <c r="AE1046" s="1635"/>
      <c r="AF1046" s="44"/>
      <c r="AG1046" s="1190"/>
      <c r="AH1046" s="1190"/>
      <c r="AI1046" s="48"/>
      <c r="AJ1046" s="1663"/>
      <c r="AK1046" s="1664"/>
      <c r="AL1046" s="1664"/>
      <c r="AM1046" s="1664"/>
      <c r="AN1046" s="1664"/>
      <c r="AO1046" s="1664"/>
      <c r="AP1046" s="1664"/>
      <c r="AQ1046" s="1665"/>
      <c r="AR1046" s="1173"/>
      <c r="AS1046" s="1173"/>
      <c r="AT1046" s="1173"/>
      <c r="AU1046" s="1066"/>
      <c r="AV1046" s="1173"/>
      <c r="AW1046" s="1173"/>
      <c r="AX1046" s="1173"/>
      <c r="AY1046" s="1173"/>
      <c r="AZ1046" s="762">
        <f>'Sources and Uses Budget'!S97*BA1046</f>
        <v>4714020</v>
      </c>
      <c r="BA1046" s="960">
        <f>IF(BA1040,20%,15%)</f>
        <v>0.15</v>
      </c>
      <c r="BB1046" s="2" t="s">
        <v>1729</v>
      </c>
      <c r="BC1046" s="2" t="s">
        <v>1730</v>
      </c>
      <c r="BD1046" s="2"/>
    </row>
    <row r="1047" spans="1:56" ht="13" customHeight="1">
      <c r="A1047" s="11"/>
      <c r="B1047" s="44"/>
      <c r="C1047" s="308"/>
      <c r="D1047" s="1633"/>
      <c r="E1047" s="1634"/>
      <c r="F1047" s="1634"/>
      <c r="G1047" s="1634"/>
      <c r="H1047" s="1634"/>
      <c r="I1047" s="1634"/>
      <c r="J1047" s="1634"/>
      <c r="K1047" s="1634"/>
      <c r="L1047" s="1634"/>
      <c r="M1047" s="1634"/>
      <c r="N1047" s="1634"/>
      <c r="O1047" s="1634"/>
      <c r="P1047" s="1634"/>
      <c r="Q1047" s="1634"/>
      <c r="R1047" s="1634"/>
      <c r="S1047" s="1634"/>
      <c r="T1047" s="1634"/>
      <c r="U1047" s="1634"/>
      <c r="V1047" s="1634"/>
      <c r="W1047" s="1634"/>
      <c r="X1047" s="1634"/>
      <c r="Y1047" s="1634"/>
      <c r="Z1047" s="1634"/>
      <c r="AA1047" s="1634"/>
      <c r="AB1047" s="1634"/>
      <c r="AC1047" s="1634"/>
      <c r="AD1047" s="1634"/>
      <c r="AE1047" s="1635"/>
      <c r="AF1047" s="44"/>
      <c r="AG1047" s="1190"/>
      <c r="AH1047" s="1190"/>
      <c r="AI1047" s="48"/>
      <c r="AJ1047" s="1663"/>
      <c r="AK1047" s="1664"/>
      <c r="AL1047" s="1664"/>
      <c r="AM1047" s="1664"/>
      <c r="AN1047" s="1664"/>
      <c r="AO1047" s="1664"/>
      <c r="AP1047" s="1664"/>
      <c r="AQ1047" s="1665"/>
      <c r="AR1047" s="1173"/>
      <c r="AS1047" s="1173"/>
      <c r="AT1047" s="1173"/>
      <c r="AU1047" s="1066"/>
      <c r="AV1047" s="1173"/>
      <c r="AW1047" s="1173"/>
      <c r="AX1047" s="1173"/>
      <c r="AY1047" s="1173"/>
      <c r="AZ1047" s="762">
        <f>IF(M356="N/A",0,'Sources and Uses Budget'!T97*BA1047)</f>
        <v>0</v>
      </c>
      <c r="BA1047" s="960">
        <v>0.15</v>
      </c>
      <c r="BB1047" s="2" t="s">
        <v>1729</v>
      </c>
      <c r="BC1047" s="2" t="s">
        <v>1731</v>
      </c>
      <c r="BD1047" s="2"/>
    </row>
    <row r="1048" spans="1:56" ht="13" customHeight="1">
      <c r="A1048" s="11"/>
      <c r="B1048" s="45"/>
      <c r="C1048" s="46"/>
      <c r="D1048" s="77" t="s">
        <v>1732</v>
      </c>
      <c r="E1048" s="5"/>
      <c r="F1048" s="5"/>
      <c r="G1048" s="5"/>
      <c r="H1048" s="5"/>
      <c r="I1048" s="1723">
        <f>AY1003</f>
        <v>79</v>
      </c>
      <c r="J1048" s="1724"/>
      <c r="K1048" s="5"/>
      <c r="L1048" s="5"/>
      <c r="M1048" s="5"/>
      <c r="N1048" s="5"/>
      <c r="O1048" s="5"/>
      <c r="P1048" s="5"/>
      <c r="Q1048" s="5"/>
      <c r="R1048" s="5"/>
      <c r="S1048" s="5"/>
      <c r="T1048" s="5"/>
      <c r="U1048" s="5"/>
      <c r="V1048" s="78" t="s">
        <v>1733</v>
      </c>
      <c r="W1048" s="32"/>
      <c r="X1048" s="1684">
        <f>CI753</f>
        <v>40</v>
      </c>
      <c r="Y1048" s="1685"/>
      <c r="Z1048" s="32"/>
      <c r="AA1048" s="32"/>
      <c r="AB1048" s="32"/>
      <c r="AC1048" s="32"/>
      <c r="AD1048" s="32"/>
      <c r="AE1048" s="33"/>
      <c r="AF1048" s="730"/>
      <c r="AG1048" s="731"/>
      <c r="AH1048" s="731"/>
      <c r="AI1048" s="732"/>
      <c r="AJ1048" s="1666"/>
      <c r="AK1048" s="1667"/>
      <c r="AL1048" s="1667"/>
      <c r="AM1048" s="1667"/>
      <c r="AN1048" s="1667"/>
      <c r="AO1048" s="1667"/>
      <c r="AP1048" s="1667"/>
      <c r="AQ1048" s="1668"/>
      <c r="AR1048" s="1173"/>
      <c r="AS1048" s="1173"/>
      <c r="AT1048" s="1173"/>
      <c r="AU1048" s="11"/>
      <c r="AV1048" s="1173"/>
      <c r="AW1048" s="1173"/>
      <c r="AX1048" s="1173"/>
      <c r="AY1048" s="1173"/>
      <c r="AZ1048" s="762">
        <f>IF(M358="N/A",0,'Sources and Uses Budget'!T97*BA1048)</f>
        <v>0</v>
      </c>
      <c r="BA1048" s="960" cm="1">
        <f t="array" ref="BA1048">_xlfn.IFS(X180="Yes",5%,$BA$1038&gt;50000,15%,BA1039&gt;=30%,15%,TRUE,5%)</f>
        <v>0.15</v>
      </c>
      <c r="BB1048" s="2" t="s">
        <v>1729</v>
      </c>
      <c r="BC1048" s="2" t="s">
        <v>1734</v>
      </c>
      <c r="BD1048" s="2"/>
    </row>
    <row r="1049" spans="1:56" ht="13" customHeight="1">
      <c r="A1049" s="11"/>
      <c r="B1049" s="47"/>
      <c r="C1049" s="76" t="s">
        <v>1735</v>
      </c>
      <c r="D1049" s="1700" t="s">
        <v>1736</v>
      </c>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44"/>
      <c r="AG1049" s="1684" t="str">
        <f>IF(X1052&gt;0,"Yes","No")</f>
        <v>Yes</v>
      </c>
      <c r="AH1049" s="1685"/>
      <c r="AI1049" s="48"/>
      <c r="AJ1049" s="1660">
        <f>IF((X1052=0),0,(2*AY1006)*AJ992)</f>
        <v>17733580.800000001</v>
      </c>
      <c r="AK1049" s="1661"/>
      <c r="AL1049" s="1661"/>
      <c r="AM1049" s="1661"/>
      <c r="AN1049" s="1661"/>
      <c r="AO1049" s="1661"/>
      <c r="AP1049" s="1661"/>
      <c r="AQ1049" s="1662"/>
      <c r="AR1049" s="1173"/>
      <c r="AS1049" s="1173"/>
      <c r="AT1049" s="1173"/>
      <c r="AU1049" s="11"/>
      <c r="AV1049" s="1173"/>
      <c r="AW1049" s="1173"/>
      <c r="AX1049" s="1173"/>
      <c r="AY1049" s="1173"/>
      <c r="AZ1049" s="762">
        <f>AZ1045*BA1049</f>
        <v>0</v>
      </c>
      <c r="BA1049" s="960">
        <v>0.15</v>
      </c>
      <c r="BB1049" s="2" t="s">
        <v>1729</v>
      </c>
      <c r="BC1049" s="2" t="s">
        <v>1737</v>
      </c>
      <c r="BD1049" s="2"/>
    </row>
    <row r="1050" spans="1:56" ht="13" customHeight="1">
      <c r="A1050" s="11"/>
      <c r="B1050" s="44"/>
      <c r="C1050" s="308"/>
      <c r="D1050" s="1633" t="s">
        <v>1738</v>
      </c>
      <c r="E1050" s="1634"/>
      <c r="F1050" s="1634"/>
      <c r="G1050" s="1634"/>
      <c r="H1050" s="1634"/>
      <c r="I1050" s="1634"/>
      <c r="J1050" s="1634"/>
      <c r="K1050" s="1634"/>
      <c r="L1050" s="1634"/>
      <c r="M1050" s="1634"/>
      <c r="N1050" s="1634"/>
      <c r="O1050" s="1634"/>
      <c r="P1050" s="1634"/>
      <c r="Q1050" s="1634"/>
      <c r="R1050" s="1634"/>
      <c r="S1050" s="1634"/>
      <c r="T1050" s="1634"/>
      <c r="U1050" s="1634"/>
      <c r="V1050" s="1634"/>
      <c r="W1050" s="1634"/>
      <c r="X1050" s="1634"/>
      <c r="Y1050" s="1634"/>
      <c r="Z1050" s="1634"/>
      <c r="AA1050" s="1634"/>
      <c r="AB1050" s="1634"/>
      <c r="AC1050" s="1634"/>
      <c r="AD1050" s="1634"/>
      <c r="AE1050" s="1635"/>
      <c r="AF1050" s="44"/>
      <c r="AG1050" s="1190"/>
      <c r="AH1050" s="1190"/>
      <c r="AI1050" s="48"/>
      <c r="AJ1050" s="1663"/>
      <c r="AK1050" s="1664"/>
      <c r="AL1050" s="1664"/>
      <c r="AM1050" s="1664"/>
      <c r="AN1050" s="1664"/>
      <c r="AO1050" s="1664"/>
      <c r="AP1050" s="1664"/>
      <c r="AQ1050" s="1665"/>
      <c r="AR1050" s="1173"/>
      <c r="AS1050" s="1173"/>
      <c r="AT1050" s="1173"/>
      <c r="AU1050" s="1173"/>
      <c r="AV1050" s="1173"/>
      <c r="AW1050" s="1173"/>
      <c r="AX1050" s="1173"/>
      <c r="AY1050" s="1173"/>
      <c r="AZ1050" s="762"/>
      <c r="BA1050" s="2"/>
      <c r="BB1050" s="2"/>
      <c r="BC1050" s="2"/>
      <c r="BD1050" s="2"/>
    </row>
    <row r="1051" spans="1:56" ht="13" customHeight="1">
      <c r="A1051" s="11"/>
      <c r="B1051" s="44"/>
      <c r="C1051" s="48"/>
      <c r="D1051" s="1633"/>
      <c r="E1051" s="1634"/>
      <c r="F1051" s="1634"/>
      <c r="G1051" s="1634"/>
      <c r="H1051" s="1634"/>
      <c r="I1051" s="1634"/>
      <c r="J1051" s="1634"/>
      <c r="K1051" s="1634"/>
      <c r="L1051" s="1634"/>
      <c r="M1051" s="1634"/>
      <c r="N1051" s="1634"/>
      <c r="O1051" s="1634"/>
      <c r="P1051" s="1634"/>
      <c r="Q1051" s="1634"/>
      <c r="R1051" s="1634"/>
      <c r="S1051" s="1634"/>
      <c r="T1051" s="1634"/>
      <c r="U1051" s="1634"/>
      <c r="V1051" s="1634"/>
      <c r="W1051" s="1634"/>
      <c r="X1051" s="1634"/>
      <c r="Y1051" s="1634"/>
      <c r="Z1051" s="1634"/>
      <c r="AA1051" s="1634"/>
      <c r="AB1051" s="1634"/>
      <c r="AC1051" s="1634"/>
      <c r="AD1051" s="1634"/>
      <c r="AE1051" s="1635"/>
      <c r="AF1051" s="727"/>
      <c r="AG1051" s="728"/>
      <c r="AH1051" s="728"/>
      <c r="AI1051" s="729"/>
      <c r="AJ1051" s="1663"/>
      <c r="AK1051" s="1664"/>
      <c r="AL1051" s="1664"/>
      <c r="AM1051" s="1664"/>
      <c r="AN1051" s="1664"/>
      <c r="AO1051" s="1664"/>
      <c r="AP1051" s="1664"/>
      <c r="AQ1051" s="1665"/>
      <c r="AR1051" s="1173"/>
      <c r="AS1051" s="1173"/>
      <c r="AT1051" s="1173"/>
      <c r="AU1051" s="1173"/>
      <c r="AV1051" s="1173"/>
      <c r="AW1051" s="1173"/>
      <c r="AX1051" s="1173"/>
      <c r="AY1051" s="1173"/>
      <c r="AZ1051" s="762">
        <f>ROUNDDOWN(MIN(SUM(AZ1046,AZ1047,AZ1048,AZ1049),BD1051),0)</f>
        <v>2500000</v>
      </c>
      <c r="BA1051" s="2" t="s">
        <v>1739</v>
      </c>
      <c r="BB1051" s="2"/>
      <c r="BC1051" s="2"/>
      <c r="BD1051" s="2" cm="1">
        <f t="array" ref="BD1051">_xlfn.IFS(BA1040,3000000,AND(BA1041&gt;=25%,BA1042&gt;=15),2800000,TRUE,2500000)</f>
        <v>2500000</v>
      </c>
    </row>
    <row r="1052" spans="1:56" ht="13" customHeight="1">
      <c r="A1052" s="11"/>
      <c r="B1052" s="45"/>
      <c r="C1052" s="46"/>
      <c r="D1052" s="77" t="s">
        <v>1732</v>
      </c>
      <c r="E1052" s="5"/>
      <c r="F1052" s="5"/>
      <c r="G1052" s="5"/>
      <c r="H1052" s="5"/>
      <c r="I1052" s="1723">
        <f>AY1003</f>
        <v>79</v>
      </c>
      <c r="J1052" s="1724"/>
      <c r="K1052" s="11"/>
      <c r="L1052" s="5"/>
      <c r="M1052" s="5"/>
      <c r="N1052" s="5"/>
      <c r="O1052" s="5"/>
      <c r="P1052" s="5"/>
      <c r="Q1052" s="5"/>
      <c r="R1052" s="5"/>
      <c r="S1052" s="5"/>
      <c r="T1052" s="5"/>
      <c r="U1052" s="5"/>
      <c r="V1052" s="78" t="s">
        <v>1740</v>
      </c>
      <c r="X1052" s="1684">
        <f>CM753</f>
        <v>24</v>
      </c>
      <c r="Y1052" s="1685"/>
      <c r="AF1052" s="730"/>
      <c r="AG1052" s="731"/>
      <c r="AH1052" s="731"/>
      <c r="AI1052" s="732"/>
      <c r="AJ1052" s="1666"/>
      <c r="AK1052" s="1667"/>
      <c r="AL1052" s="1667"/>
      <c r="AM1052" s="1667"/>
      <c r="AN1052" s="1667"/>
      <c r="AO1052" s="1667"/>
      <c r="AP1052" s="1667"/>
      <c r="AQ1052" s="1668"/>
      <c r="AR1052" s="1173"/>
      <c r="AS1052" s="1173"/>
      <c r="AT1052" s="1173"/>
      <c r="AU1052" s="1173"/>
      <c r="AV1052" s="1173"/>
      <c r="AW1052" s="1173"/>
      <c r="AX1052" s="1173"/>
      <c r="AY1052" s="1173"/>
      <c r="AZ1052" s="762">
        <f>ROUNDDOWN(MAX(0,BA1052*(SUM(AG1093,AL1093,AZ1045)-BD1052))+BF1052,0)</f>
        <v>0</v>
      </c>
      <c r="BA1052" s="960">
        <f>IF(L1042,7%,5%)</f>
        <v>0.05</v>
      </c>
      <c r="BB1052" s="2" t="s">
        <v>1741</v>
      </c>
      <c r="BC1052" s="2"/>
      <c r="BD1052" s="2">
        <v>6666667</v>
      </c>
    </row>
    <row r="1053" spans="1:56" ht="13" customHeight="1">
      <c r="A1053" s="11"/>
      <c r="B1053" s="61"/>
      <c r="C1053" s="1191"/>
      <c r="D1053" s="1721" t="s">
        <v>1742</v>
      </c>
      <c r="E1053" s="1721"/>
      <c r="F1053" s="1721"/>
      <c r="G1053" s="1721"/>
      <c r="H1053" s="1721"/>
      <c r="I1053" s="1721"/>
      <c r="J1053" s="1721"/>
      <c r="K1053" s="1721"/>
      <c r="L1053" s="1721"/>
      <c r="M1053" s="1721"/>
      <c r="N1053" s="1721"/>
      <c r="O1053" s="1721"/>
      <c r="P1053" s="1721"/>
      <c r="Q1053" s="1721"/>
      <c r="R1053" s="1721"/>
      <c r="S1053" s="1721"/>
      <c r="T1053" s="1721"/>
      <c r="U1053" s="1721"/>
      <c r="V1053" s="1721"/>
      <c r="W1053" s="1721"/>
      <c r="X1053" s="1721"/>
      <c r="Y1053" s="1721"/>
      <c r="Z1053" s="1721"/>
      <c r="AA1053" s="1721"/>
      <c r="AB1053" s="1721"/>
      <c r="AC1053" s="1721"/>
      <c r="AD1053" s="1721"/>
      <c r="AE1053" s="1721"/>
      <c r="AF1053" s="1721"/>
      <c r="AG1053" s="1721"/>
      <c r="AH1053" s="1721"/>
      <c r="AI1053" s="1722"/>
      <c r="AJ1053" s="1731">
        <f>SUM(AJ992:AQ1052)</f>
        <v>68788535.799999997</v>
      </c>
      <c r="AK1053" s="1732"/>
      <c r="AL1053" s="1732"/>
      <c r="AM1053" s="1732"/>
      <c r="AN1053" s="1732"/>
      <c r="AO1053" s="1732"/>
      <c r="AP1053" s="1732"/>
      <c r="AQ1053" s="1733"/>
      <c r="AR1053" s="1173"/>
      <c r="AS1053" s="1173"/>
      <c r="AT1053" s="1173"/>
      <c r="AU1053" s="1173"/>
      <c r="AV1053" s="1173"/>
      <c r="AW1053" s="1173"/>
      <c r="AX1053" s="1173"/>
      <c r="AY1053" s="1173"/>
      <c r="AZ1053" s="959">
        <v>6000000</v>
      </c>
      <c r="BA1053" s="2" t="s">
        <v>1743</v>
      </c>
      <c r="BB1053" s="2"/>
      <c r="BC1053" s="2"/>
      <c r="BD1053" s="2"/>
    </row>
    <row r="1054" spans="1:56" ht="13" customHeight="1">
      <c r="A1054" s="11"/>
      <c r="B1054" s="11"/>
      <c r="C1054" s="1192"/>
      <c r="D1054" s="1193"/>
      <c r="E1054" s="1193"/>
      <c r="F1054" s="1193"/>
      <c r="G1054" s="1193"/>
      <c r="H1054" s="1193"/>
      <c r="I1054" s="1193"/>
      <c r="J1054" s="1193"/>
      <c r="K1054" s="1193"/>
      <c r="L1054" s="1193"/>
      <c r="M1054" s="1193"/>
      <c r="N1054" s="1193"/>
      <c r="O1054" s="1193"/>
      <c r="P1054" s="1193"/>
      <c r="Q1054" s="1193"/>
      <c r="R1054" s="1193"/>
      <c r="S1054" s="1193"/>
      <c r="T1054" s="1194"/>
      <c r="U1054" s="1194"/>
      <c r="V1054" s="1194"/>
      <c r="W1054" s="1194"/>
      <c r="X1054" s="1194"/>
      <c r="Y1054" s="1194"/>
      <c r="Z1054" s="1194"/>
      <c r="AA1054" s="1194"/>
      <c r="AB1054" s="1194"/>
      <c r="AC1054" s="1194"/>
      <c r="AD1054" s="116"/>
      <c r="AE1054" s="116"/>
      <c r="AF1054" s="116"/>
      <c r="AG1054" s="116"/>
      <c r="AH1054" s="116"/>
      <c r="AI1054" s="116"/>
      <c r="AJ1054" s="116"/>
      <c r="AK1054" s="116"/>
      <c r="AL1054" s="1173"/>
      <c r="AM1054" s="1173"/>
      <c r="AN1054" s="1173"/>
      <c r="AO1054" s="1173"/>
      <c r="AP1054" s="1173"/>
      <c r="AQ1054" s="1173"/>
      <c r="AR1054" s="1173"/>
      <c r="AS1054" s="1173"/>
      <c r="AT1054" s="1173"/>
      <c r="AU1054" s="1173"/>
      <c r="AV1054" s="1173"/>
      <c r="AW1054" s="1173"/>
      <c r="AX1054" s="1173"/>
      <c r="AY1054" s="1173"/>
      <c r="AZ1054" s="2"/>
      <c r="BA1054" s="2"/>
      <c r="BB1054" s="2"/>
      <c r="BC1054" s="2"/>
      <c r="BD1054" s="2"/>
    </row>
    <row r="1055" spans="1:56" ht="13" customHeight="1">
      <c r="A1055" s="11"/>
      <c r="B1055" s="1173"/>
      <c r="C1055" s="1173"/>
      <c r="D1055" s="1173"/>
      <c r="E1055" s="1173"/>
      <c r="F1055" s="1173"/>
      <c r="G1055" s="951" t="s">
        <v>1744</v>
      </c>
      <c r="H1055" s="952"/>
      <c r="I1055" s="952"/>
      <c r="J1055" s="952"/>
      <c r="K1055" s="952"/>
      <c r="L1055" s="952"/>
      <c r="M1055" s="952"/>
      <c r="N1055" s="952"/>
      <c r="O1055" s="952"/>
      <c r="P1055" s="952"/>
      <c r="Q1055" s="952"/>
      <c r="R1055" s="952"/>
      <c r="S1055" s="952"/>
      <c r="T1055" s="952"/>
      <c r="U1055" s="952"/>
      <c r="V1055" s="952"/>
      <c r="W1055" s="952"/>
      <c r="X1055" s="952"/>
      <c r="Y1055" s="952"/>
      <c r="Z1055" s="952"/>
      <c r="AA1055" s="952"/>
      <c r="AB1055" s="952"/>
      <c r="AC1055" s="952"/>
      <c r="AD1055" s="952"/>
      <c r="AE1055" s="952"/>
      <c r="AF1055" s="952"/>
      <c r="AG1055" s="953"/>
      <c r="AH1055" s="953"/>
      <c r="AI1055" s="953"/>
      <c r="AJ1055" s="953"/>
      <c r="AK1055" s="953"/>
      <c r="AL1055" s="953"/>
      <c r="AM1055" s="953"/>
      <c r="AN1055" s="953"/>
      <c r="AO1055" s="1173"/>
      <c r="AP1055" s="1173"/>
      <c r="AQ1055" s="1173"/>
      <c r="AR1055" s="1173"/>
      <c r="AS1055" s="1173"/>
      <c r="AT1055" s="1173"/>
      <c r="AU1055" s="1173"/>
      <c r="AV1055" s="1173"/>
      <c r="AW1055" s="1173"/>
      <c r="AX1055" s="1173"/>
      <c r="AY1055" s="1173"/>
      <c r="AZ1055" s="2"/>
      <c r="BA1055" s="762">
        <f>MIN(MIN(MAX(AZ1051,AZ1052),AZ1053),BA1056)</f>
        <v>2500000</v>
      </c>
      <c r="BB1055" s="2" t="s">
        <v>1745</v>
      </c>
      <c r="BC1055" s="2"/>
      <c r="BD1055" s="2"/>
    </row>
    <row r="1056" spans="1:56" ht="13" customHeight="1">
      <c r="A1056" s="11"/>
      <c r="B1056" s="1173"/>
      <c r="C1056" s="1173"/>
      <c r="D1056" s="1173"/>
      <c r="E1056" s="1173"/>
      <c r="F1056" s="1173"/>
      <c r="G1056" s="954" t="s">
        <v>1746</v>
      </c>
      <c r="H1056" s="955"/>
      <c r="I1056" s="955"/>
      <c r="J1056" s="955"/>
      <c r="K1056" s="955"/>
      <c r="L1056" s="955"/>
      <c r="M1056" s="955"/>
      <c r="N1056" s="955"/>
      <c r="O1056" s="955"/>
      <c r="P1056" s="955"/>
      <c r="Q1056" s="955"/>
      <c r="R1056" s="955"/>
      <c r="S1056" s="955"/>
      <c r="T1056" s="955"/>
      <c r="U1056" s="955"/>
      <c r="V1056" s="955"/>
      <c r="W1056" s="955"/>
      <c r="X1056" s="955"/>
      <c r="Y1056" s="955"/>
      <c r="Z1056" s="955"/>
      <c r="AA1056" s="1297">
        <f>'Sources and Uses Budget'!S107+'Sources and Uses Budget'!T107</f>
        <v>36140820</v>
      </c>
      <c r="AB1056" s="1297"/>
      <c r="AC1056" s="1297"/>
      <c r="AD1056" s="1297"/>
      <c r="AE1056" s="1297"/>
      <c r="AF1056" s="1297"/>
      <c r="AG1056" s="953"/>
      <c r="AH1056" s="953"/>
      <c r="AI1056" s="953"/>
      <c r="AJ1056" s="953"/>
      <c r="AK1056" s="953"/>
      <c r="AL1056" s="953"/>
      <c r="AM1056" s="953"/>
      <c r="AN1056" s="953"/>
      <c r="AO1056" s="1173"/>
      <c r="AP1056" s="1173"/>
      <c r="AQ1056" s="1173"/>
      <c r="AR1056" s="1173"/>
      <c r="AS1056" s="1173"/>
      <c r="AT1056" s="1173"/>
      <c r="AU1056" s="1173"/>
      <c r="AV1056" s="1066"/>
      <c r="AW1056" s="1066"/>
      <c r="AX1056" s="1066"/>
      <c r="AY1056" s="1066"/>
      <c r="AZ1056" s="2"/>
      <c r="BA1056" s="762">
        <f>SUM(AZ1046:AZ1049)</f>
        <v>4714020</v>
      </c>
      <c r="BB1056" s="2" t="s">
        <v>1747</v>
      </c>
      <c r="BC1056" s="2"/>
      <c r="BD1056" s="2"/>
    </row>
    <row r="1057" spans="1:54" ht="13" customHeight="1">
      <c r="A1057" s="11"/>
      <c r="B1057" s="1173"/>
      <c r="C1057" s="1173"/>
      <c r="D1057" s="1173"/>
      <c r="E1057" s="1173"/>
      <c r="F1057" s="1173"/>
      <c r="G1057" s="954"/>
      <c r="H1057" s="954" t="s">
        <v>1748</v>
      </c>
      <c r="I1057" s="955"/>
      <c r="J1057" s="955"/>
      <c r="K1057" s="955"/>
      <c r="L1057" s="955"/>
      <c r="M1057" s="955"/>
      <c r="N1057" s="955"/>
      <c r="O1057" s="955"/>
      <c r="P1057" s="955"/>
      <c r="Q1057" s="955"/>
      <c r="R1057" s="955"/>
      <c r="S1057" s="955"/>
      <c r="T1057" s="955"/>
      <c r="U1057" s="955"/>
      <c r="V1057" s="955"/>
      <c r="W1057" s="955"/>
      <c r="X1057" s="955"/>
      <c r="Y1057" s="955"/>
      <c r="Z1057" s="957"/>
      <c r="AA1057" s="1298">
        <f>IFERROR((AA1056-BA1059)/(AJ1053-AJ1045-AJ1049),"")</f>
        <v>0.9352158977109748</v>
      </c>
      <c r="AB1057" s="1299"/>
      <c r="AC1057" s="1299"/>
      <c r="AD1057" s="1299"/>
      <c r="AE1057" s="1299"/>
      <c r="AF1057" s="1300"/>
      <c r="AG1057" s="956"/>
      <c r="AH1057" s="953"/>
      <c r="AI1057" s="953"/>
      <c r="AJ1057" s="953"/>
      <c r="AK1057" s="953"/>
      <c r="AL1057" s="953"/>
      <c r="AM1057" s="953"/>
      <c r="AN1057" s="953"/>
      <c r="AO1057" s="1173"/>
      <c r="AP1057" s="1173"/>
      <c r="AQ1057" s="1173"/>
      <c r="AR1057" s="1173"/>
      <c r="AS1057" s="1173"/>
      <c r="AT1057" s="1173"/>
      <c r="AU1057" s="1173"/>
      <c r="AV1057" s="1066"/>
      <c r="AW1057" s="1066"/>
      <c r="AX1057" s="1066"/>
      <c r="AY1057" s="1066"/>
    </row>
    <row r="1058" spans="1:54" ht="13" customHeight="1">
      <c r="A1058" s="11"/>
      <c r="B1058" s="1173"/>
      <c r="C1058" s="1173"/>
      <c r="D1058" s="1173"/>
      <c r="E1058" s="1173"/>
      <c r="F1058" s="1173"/>
      <c r="G1058" s="130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1"/>
      <c r="I1058" s="1301"/>
      <c r="J1058" s="1301"/>
      <c r="K1058" s="1301"/>
      <c r="L1058" s="1301"/>
      <c r="M1058" s="1301"/>
      <c r="N1058" s="1301"/>
      <c r="O1058" s="1301"/>
      <c r="P1058" s="1301"/>
      <c r="Q1058" s="1301"/>
      <c r="R1058" s="1301"/>
      <c r="S1058" s="1301"/>
      <c r="T1058" s="1301"/>
      <c r="U1058" s="1301"/>
      <c r="V1058" s="1301"/>
      <c r="W1058" s="1301"/>
      <c r="X1058" s="1301"/>
      <c r="Y1058" s="1301"/>
      <c r="Z1058" s="1301"/>
      <c r="AA1058" s="1301"/>
      <c r="AB1058" s="1301"/>
      <c r="AC1058" s="1301"/>
      <c r="AD1058" s="1301"/>
      <c r="AE1058" s="1301"/>
      <c r="AF1058" s="1301"/>
      <c r="AG1058" s="1301"/>
      <c r="AH1058" s="1301"/>
      <c r="AI1058" s="1301"/>
      <c r="AJ1058" s="1301"/>
      <c r="AK1058" s="1301"/>
      <c r="AL1058" s="1301"/>
      <c r="AM1058" s="1301"/>
      <c r="AN1058" s="1301"/>
      <c r="AO1058" s="1173"/>
      <c r="AP1058" s="1173"/>
      <c r="AQ1058" s="1173"/>
      <c r="AR1058" s="1173"/>
      <c r="AS1058" s="1173"/>
      <c r="AT1058" s="1173"/>
      <c r="AU1058" s="1173"/>
      <c r="AV1058" s="11"/>
      <c r="AW1058" s="11"/>
      <c r="AX1058" s="11"/>
      <c r="AY1058" s="11"/>
      <c r="BA1058" s="963">
        <f>'Sources and Uses Budget'!$S$104+'Sources and Uses Budget'!$T$104</f>
        <v>4714020</v>
      </c>
      <c r="BB1058" s="2" t="s">
        <v>1749</v>
      </c>
    </row>
    <row r="1059" spans="1:54" ht="13" customHeight="1">
      <c r="A1059" s="11"/>
      <c r="B1059" s="11"/>
      <c r="C1059" s="1192"/>
      <c r="D1059" s="1195"/>
      <c r="E1059" s="1195"/>
      <c r="F1059" s="1195"/>
      <c r="G1059" s="1301"/>
      <c r="H1059" s="1301"/>
      <c r="I1059" s="1301"/>
      <c r="J1059" s="1301"/>
      <c r="K1059" s="1301"/>
      <c r="L1059" s="1301"/>
      <c r="M1059" s="1301"/>
      <c r="N1059" s="1301"/>
      <c r="O1059" s="1301"/>
      <c r="P1059" s="1301"/>
      <c r="Q1059" s="1301"/>
      <c r="R1059" s="1301"/>
      <c r="S1059" s="1301"/>
      <c r="T1059" s="1301"/>
      <c r="U1059" s="1301"/>
      <c r="V1059" s="1301"/>
      <c r="W1059" s="1301"/>
      <c r="X1059" s="1301"/>
      <c r="Y1059" s="1301"/>
      <c r="Z1059" s="1301"/>
      <c r="AA1059" s="1301"/>
      <c r="AB1059" s="1301"/>
      <c r="AC1059" s="1301"/>
      <c r="AD1059" s="1301"/>
      <c r="AE1059" s="1301"/>
      <c r="AF1059" s="1301"/>
      <c r="AG1059" s="1301"/>
      <c r="AH1059" s="1301"/>
      <c r="AI1059" s="1301"/>
      <c r="AJ1059" s="1301"/>
      <c r="AK1059" s="1301"/>
      <c r="AL1059" s="1301"/>
      <c r="AM1059" s="1301"/>
      <c r="AN1059" s="1301"/>
      <c r="AO1059" s="1173"/>
      <c r="AP1059" s="1173"/>
      <c r="AQ1059" s="1173"/>
      <c r="AR1059" s="1173"/>
      <c r="AS1059" s="1173"/>
      <c r="AT1059" s="1173"/>
      <c r="AU1059" s="1173"/>
      <c r="AV1059" s="11"/>
      <c r="AW1059" s="11"/>
      <c r="AX1059" s="11"/>
      <c r="AY1059" s="11"/>
      <c r="BA1059" s="964">
        <f>MAX($BA$1058-$BA$1055,0)</f>
        <v>2214020</v>
      </c>
      <c r="BB1059" s="2" t="s">
        <v>1750</v>
      </c>
    </row>
    <row r="1060" spans="1:54" ht="13" customHeight="1">
      <c r="A1060" s="1196"/>
      <c r="B1060" s="950"/>
      <c r="C1060" s="950"/>
      <c r="D1060" s="950"/>
      <c r="E1060" s="950"/>
      <c r="F1060" s="950"/>
      <c r="G1060" s="1301"/>
      <c r="H1060" s="1301"/>
      <c r="I1060" s="1301"/>
      <c r="J1060" s="1301"/>
      <c r="K1060" s="1301"/>
      <c r="L1060" s="1301"/>
      <c r="M1060" s="1301"/>
      <c r="N1060" s="1301"/>
      <c r="O1060" s="1301"/>
      <c r="P1060" s="1301"/>
      <c r="Q1060" s="1301"/>
      <c r="R1060" s="1301"/>
      <c r="S1060" s="1301"/>
      <c r="T1060" s="1301"/>
      <c r="U1060" s="1301"/>
      <c r="V1060" s="1301"/>
      <c r="W1060" s="1301"/>
      <c r="X1060" s="1301"/>
      <c r="Y1060" s="1301"/>
      <c r="Z1060" s="1301"/>
      <c r="AA1060" s="1301"/>
      <c r="AB1060" s="1301"/>
      <c r="AC1060" s="1301"/>
      <c r="AD1060" s="1301"/>
      <c r="AE1060" s="1301"/>
      <c r="AF1060" s="1301"/>
      <c r="AG1060" s="1301"/>
      <c r="AH1060" s="1301"/>
      <c r="AI1060" s="1301"/>
      <c r="AJ1060" s="1301"/>
      <c r="AK1060" s="1301"/>
      <c r="AL1060" s="1301"/>
      <c r="AM1060" s="1301"/>
      <c r="AN1060" s="1301"/>
      <c r="AO1060" s="950"/>
      <c r="AP1060" s="950"/>
      <c r="AQ1060" s="1173"/>
      <c r="AR1060" s="1173"/>
      <c r="AS1060" s="1173"/>
      <c r="AT1060" s="1173"/>
      <c r="AU1060" s="1173"/>
      <c r="AV1060" s="1173"/>
      <c r="AW1060" s="1173"/>
      <c r="AX1060" s="1173"/>
      <c r="AY1060" s="1173"/>
    </row>
    <row r="1061" spans="1:54" ht="13" customHeight="1">
      <c r="A1061" s="1769" t="s">
        <v>1751</v>
      </c>
      <c r="B1061" s="1769"/>
      <c r="C1061" s="1769"/>
      <c r="D1061" s="1769"/>
      <c r="E1061" s="1769"/>
      <c r="F1061" s="1769"/>
      <c r="G1061" s="1769"/>
      <c r="H1061" s="1769"/>
      <c r="I1061" s="1769"/>
      <c r="J1061" s="1769"/>
      <c r="K1061" s="1769"/>
      <c r="L1061" s="1769"/>
      <c r="M1061" s="1769"/>
      <c r="N1061" s="1769"/>
      <c r="O1061" s="1769"/>
      <c r="P1061" s="1769"/>
      <c r="Q1061" s="1769"/>
      <c r="R1061" s="1769"/>
      <c r="S1061" s="1769"/>
      <c r="T1061" s="1769"/>
      <c r="U1061" s="1769"/>
      <c r="V1061" s="1769"/>
      <c r="W1061" s="1769"/>
      <c r="X1061" s="1769"/>
      <c r="Y1061" s="1769"/>
      <c r="Z1061" s="1769"/>
      <c r="AA1061" s="1769"/>
      <c r="AB1061" s="1769"/>
      <c r="AC1061" s="1769"/>
      <c r="AD1061" s="1769"/>
      <c r="AE1061" s="1769"/>
      <c r="AF1061" s="1769"/>
      <c r="AG1061" s="1769"/>
      <c r="AH1061" s="1769"/>
      <c r="AI1061" s="1769"/>
      <c r="AJ1061" s="1769"/>
      <c r="AK1061" s="1769"/>
      <c r="AL1061" s="1769"/>
      <c r="AM1061" s="1769"/>
      <c r="AN1061" s="1769"/>
      <c r="AO1061" s="1769"/>
      <c r="AP1061" s="1769"/>
      <c r="AQ1061" s="1769"/>
      <c r="AR1061" s="1066"/>
      <c r="AS1061" s="1066"/>
      <c r="AT1061" s="1066"/>
      <c r="AV1061" s="1173"/>
      <c r="AW1061" s="1173"/>
      <c r="AX1061" s="1173"/>
      <c r="AY1061" s="1173"/>
    </row>
    <row r="1062" spans="1:54" ht="13" customHeight="1">
      <c r="A1062" s="11"/>
      <c r="B1062" s="11"/>
      <c r="C1062" s="11"/>
      <c r="D1062" s="11"/>
      <c r="E1062" s="11"/>
      <c r="F1062" s="11"/>
      <c r="G1062" s="11"/>
      <c r="H1062" s="11"/>
      <c r="I1062" s="11"/>
      <c r="J1062" s="11"/>
      <c r="K1062" s="11"/>
      <c r="L1062" s="11"/>
      <c r="M1062" s="11"/>
      <c r="N1062" s="11"/>
      <c r="O1062" s="11"/>
      <c r="P1062" s="11"/>
      <c r="Q1062" s="1066"/>
      <c r="R1062" s="1066"/>
      <c r="S1062" s="1066"/>
      <c r="T1062" s="1066"/>
      <c r="U1062" s="1066"/>
      <c r="V1062" s="1066"/>
      <c r="W1062" s="1066"/>
      <c r="X1062" s="1066"/>
      <c r="Y1062" s="1066"/>
      <c r="Z1062" s="1066"/>
      <c r="AA1062" s="1066"/>
      <c r="AB1062" s="1066"/>
      <c r="AC1062" s="1066"/>
      <c r="AD1062" s="1066"/>
      <c r="AE1062" s="1066"/>
      <c r="AF1062" s="1066"/>
      <c r="AG1062" s="1066"/>
      <c r="AH1062" s="1066"/>
      <c r="AI1062" s="1066"/>
      <c r="AJ1062" s="1066"/>
      <c r="AK1062" s="1066"/>
      <c r="AL1062" s="1066"/>
      <c r="AM1062" s="1066"/>
      <c r="AN1062" s="1066"/>
      <c r="AO1062" s="1066"/>
      <c r="AP1062" s="1066"/>
      <c r="AQ1062" s="1066"/>
      <c r="AR1062" s="1066"/>
      <c r="AS1062" s="1066"/>
      <c r="AT1062" s="1066"/>
      <c r="AV1062" s="1173"/>
      <c r="AW1062" s="1173"/>
      <c r="AX1062" s="1173"/>
      <c r="AY1062" s="1173"/>
    </row>
    <row r="1063" spans="1:54" ht="13" customHeight="1">
      <c r="A1063" s="38" t="s">
        <v>1752</v>
      </c>
      <c r="B1063" s="1066"/>
      <c r="C1063" s="1066"/>
      <c r="D1063" s="1066"/>
      <c r="E1063" s="1066"/>
      <c r="F1063" s="1066"/>
      <c r="G1063" s="1066"/>
      <c r="H1063" s="1066"/>
      <c r="I1063" s="1066"/>
      <c r="J1063" s="1066"/>
      <c r="K1063" s="1066"/>
      <c r="L1063" s="1066"/>
      <c r="M1063" s="1066"/>
      <c r="N1063" s="1066"/>
      <c r="O1063" s="1066"/>
      <c r="P1063" s="1066"/>
      <c r="Q1063" s="1066"/>
      <c r="R1063" s="1066"/>
      <c r="S1063" s="1066"/>
      <c r="T1063" s="1066"/>
      <c r="U1063" s="1066"/>
      <c r="V1063" s="1066"/>
      <c r="W1063" s="1066"/>
      <c r="X1063" s="1066"/>
      <c r="AJ1063" s="11"/>
      <c r="AK1063" s="11"/>
      <c r="AL1063" s="11"/>
      <c r="AM1063" s="11"/>
      <c r="AN1063" s="11"/>
      <c r="AO1063" s="11"/>
      <c r="AP1063" s="11"/>
      <c r="AQ1063" s="11"/>
      <c r="AR1063" s="11"/>
      <c r="AS1063" s="11"/>
      <c r="AT1063" s="11"/>
      <c r="AV1063" s="1173"/>
      <c r="AW1063" s="1173"/>
      <c r="AX1063" s="1173"/>
      <c r="AY1063" s="1173"/>
    </row>
    <row r="1064" spans="1:54" ht="13" customHeight="1">
      <c r="A1064" s="111" t="s">
        <v>1753</v>
      </c>
      <c r="B1064" s="11"/>
      <c r="C1064" s="11"/>
      <c r="D1064" s="11"/>
      <c r="E1064" s="11"/>
      <c r="F1064" s="11"/>
      <c r="G1064" s="11"/>
      <c r="H1064" s="11"/>
      <c r="I1064" s="11"/>
      <c r="J1064" s="11"/>
      <c r="K1064" s="11"/>
      <c r="L1064" s="11"/>
      <c r="M1064" s="11"/>
      <c r="N1064" s="11"/>
      <c r="O1064" s="11"/>
      <c r="P1064" s="11"/>
      <c r="Q1064" s="1066"/>
      <c r="R1064" s="1066"/>
      <c r="S1064" s="1066"/>
      <c r="T1064" s="1066"/>
      <c r="U1064" s="1066"/>
      <c r="V1064" s="1066"/>
      <c r="W1064" s="1066"/>
      <c r="X1064" s="1066"/>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3"/>
      <c r="AW1064" s="1173"/>
      <c r="AX1064" s="1173"/>
      <c r="AY1064" s="1173"/>
    </row>
    <row r="1065" spans="1:54" ht="13" customHeight="1">
      <c r="A1065" s="1353" t="s">
        <v>847</v>
      </c>
      <c r="B1065" s="1353"/>
      <c r="C1065" s="1552">
        <v>1</v>
      </c>
      <c r="D1065" s="1552"/>
      <c r="E1065" s="11" t="s">
        <v>1754</v>
      </c>
      <c r="F1065" s="11"/>
      <c r="G1065" s="11"/>
      <c r="H1065" s="11"/>
      <c r="I1065" s="11"/>
      <c r="J1065" s="11"/>
      <c r="K1065" s="11"/>
      <c r="L1065" s="11"/>
      <c r="M1065" s="11"/>
      <c r="N1065" s="11"/>
      <c r="O1065" s="11"/>
      <c r="P1065" s="11"/>
      <c r="Q1065" s="1066"/>
      <c r="R1065" s="1066"/>
      <c r="S1065" s="1066"/>
      <c r="T1065" s="1066"/>
      <c r="U1065" s="1066"/>
      <c r="V1065" s="1066"/>
      <c r="W1065" s="1066"/>
      <c r="X1065" s="1066"/>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3"/>
      <c r="AW1065" s="1173"/>
      <c r="AX1065" s="1173"/>
      <c r="AY1065" s="1173"/>
    </row>
    <row r="1066" spans="1:54" ht="13" customHeight="1">
      <c r="A1066" s="111"/>
      <c r="B1066" s="11"/>
      <c r="C1066" s="1552"/>
      <c r="D1066" s="1552"/>
      <c r="E1066" s="11"/>
      <c r="F1066" s="11"/>
      <c r="G1066" s="11"/>
      <c r="H1066" s="11"/>
      <c r="I1066" s="11"/>
      <c r="J1066" s="11"/>
      <c r="K1066" s="11"/>
      <c r="L1066" s="11"/>
      <c r="M1066" s="11"/>
      <c r="N1066" s="11"/>
      <c r="O1066" s="11"/>
      <c r="P1066" s="11"/>
      <c r="Q1066" s="1066"/>
      <c r="R1066" s="1066"/>
      <c r="S1066" s="1066"/>
      <c r="T1066" s="1066"/>
      <c r="U1066" s="1066"/>
      <c r="V1066" s="1066"/>
      <c r="W1066" s="1066"/>
      <c r="X1066" s="1066"/>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3"/>
      <c r="AW1066" s="1173"/>
      <c r="AX1066" s="1173"/>
      <c r="AY1066" s="1173"/>
    </row>
    <row r="1067" spans="1:54" ht="13" customHeight="1">
      <c r="A1067" s="1353" t="s">
        <v>800</v>
      </c>
      <c r="B1067" s="1353"/>
      <c r="C1067" s="1552">
        <v>2</v>
      </c>
      <c r="D1067" s="1552"/>
      <c r="E1067" s="1788" t="s">
        <v>1755</v>
      </c>
      <c r="F1067" s="1788"/>
      <c r="G1067" s="1788"/>
      <c r="H1067" s="1788"/>
      <c r="I1067" s="1788"/>
      <c r="J1067" s="1788"/>
      <c r="K1067" s="1788"/>
      <c r="L1067" s="1788"/>
      <c r="M1067" s="1788"/>
      <c r="N1067" s="1788"/>
      <c r="O1067" s="1788"/>
      <c r="P1067" s="1788"/>
      <c r="Q1067" s="1788"/>
      <c r="R1067" s="1788"/>
      <c r="S1067" s="1788"/>
      <c r="T1067" s="1788"/>
      <c r="U1067" s="1788"/>
      <c r="V1067" s="1788"/>
      <c r="W1067" s="1788"/>
      <c r="X1067" s="1788"/>
      <c r="Y1067" s="1788"/>
      <c r="Z1067" s="1788"/>
      <c r="AA1067" s="1788"/>
      <c r="AB1067" s="1788"/>
      <c r="AC1067" s="1788"/>
      <c r="AD1067" s="1788"/>
      <c r="AE1067" s="1788"/>
      <c r="AF1067" s="1788"/>
      <c r="AG1067" s="1788"/>
      <c r="AH1067" s="1788"/>
      <c r="AI1067" s="1788"/>
      <c r="AJ1067" s="1788"/>
      <c r="AK1067" s="1788"/>
      <c r="AL1067" s="1788"/>
      <c r="AM1067" s="1788"/>
      <c r="AN1067" s="1788"/>
      <c r="AO1067" s="1788"/>
      <c r="AP1067" s="1788"/>
      <c r="AQ1067" s="1788"/>
      <c r="AR1067" s="1788"/>
      <c r="AS1067" s="11"/>
      <c r="AT1067" s="11"/>
      <c r="AV1067" s="1173"/>
      <c r="AW1067" s="1173"/>
      <c r="AX1067" s="1173"/>
      <c r="AY1067" s="1173"/>
    </row>
    <row r="1068" spans="1:54" ht="13" customHeight="1">
      <c r="A1068" s="111"/>
      <c r="B1068" s="11"/>
      <c r="C1068" s="1552"/>
      <c r="D1068" s="1552"/>
      <c r="E1068" s="1788"/>
      <c r="F1068" s="1788"/>
      <c r="G1068" s="1788"/>
      <c r="H1068" s="1788"/>
      <c r="I1068" s="1788"/>
      <c r="J1068" s="1788"/>
      <c r="K1068" s="1788"/>
      <c r="L1068" s="1788"/>
      <c r="M1068" s="1788"/>
      <c r="N1068" s="1788"/>
      <c r="O1068" s="1788"/>
      <c r="P1068" s="1788"/>
      <c r="Q1068" s="1788"/>
      <c r="R1068" s="1788"/>
      <c r="S1068" s="1788"/>
      <c r="T1068" s="1788"/>
      <c r="U1068" s="1788"/>
      <c r="V1068" s="1788"/>
      <c r="W1068" s="1788"/>
      <c r="X1068" s="1788"/>
      <c r="Y1068" s="1788"/>
      <c r="Z1068" s="1788"/>
      <c r="AA1068" s="1788"/>
      <c r="AB1068" s="1788"/>
      <c r="AC1068" s="1788"/>
      <c r="AD1068" s="1788"/>
      <c r="AE1068" s="1788"/>
      <c r="AF1068" s="1788"/>
      <c r="AG1068" s="1788"/>
      <c r="AH1068" s="1788"/>
      <c r="AI1068" s="1788"/>
      <c r="AJ1068" s="1788"/>
      <c r="AK1068" s="1788"/>
      <c r="AL1068" s="1788"/>
      <c r="AM1068" s="1788"/>
      <c r="AN1068" s="1788"/>
      <c r="AO1068" s="1788"/>
      <c r="AP1068" s="1788"/>
      <c r="AQ1068" s="1788"/>
      <c r="AR1068" s="1788"/>
      <c r="AS1068" s="11"/>
      <c r="AT1068" s="11"/>
      <c r="AV1068" s="1173"/>
      <c r="AW1068" s="1173"/>
      <c r="AX1068" s="1173"/>
      <c r="AY1068" s="1173"/>
    </row>
    <row r="1069" spans="1:54" ht="13" customHeight="1">
      <c r="A1069" s="111"/>
      <c r="B1069" s="11"/>
      <c r="C1069" s="1552"/>
      <c r="D1069" s="1552"/>
      <c r="E1069" s="11"/>
      <c r="F1069" s="11"/>
      <c r="G1069" s="11"/>
      <c r="H1069" s="11"/>
      <c r="I1069" s="11"/>
      <c r="J1069" s="11"/>
      <c r="K1069" s="11"/>
      <c r="L1069" s="11"/>
      <c r="M1069" s="11"/>
      <c r="N1069" s="11"/>
      <c r="O1069" s="11"/>
      <c r="P1069" s="11"/>
      <c r="Q1069" s="1066"/>
      <c r="R1069" s="1066"/>
      <c r="S1069" s="1066"/>
      <c r="T1069" s="1066"/>
      <c r="U1069" s="1066"/>
      <c r="V1069" s="1066"/>
      <c r="W1069" s="1066"/>
      <c r="X1069" s="1066"/>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3"/>
      <c r="AW1069" s="1173"/>
      <c r="AX1069" s="1173"/>
      <c r="AY1069" s="1173"/>
    </row>
    <row r="1070" spans="1:54" ht="13" customHeight="1">
      <c r="A1070" s="1353" t="s">
        <v>800</v>
      </c>
      <c r="B1070" s="1353"/>
      <c r="C1070" s="1395">
        <v>3</v>
      </c>
      <c r="D1070" s="1395"/>
      <c r="E1070" s="1285" t="s">
        <v>1756</v>
      </c>
      <c r="F1070" s="1285"/>
      <c r="G1070" s="1285"/>
      <c r="H1070" s="1285"/>
      <c r="I1070" s="1285"/>
      <c r="J1070" s="1285"/>
      <c r="K1070" s="1285"/>
      <c r="L1070" s="1285"/>
      <c r="M1070" s="1285"/>
      <c r="N1070" s="1285"/>
      <c r="O1070" s="1285"/>
      <c r="P1070" s="1285"/>
      <c r="Q1070" s="1285"/>
      <c r="R1070" s="1285"/>
      <c r="S1070" s="1285"/>
      <c r="T1070" s="1285"/>
      <c r="U1070" s="1285"/>
      <c r="V1070" s="1285"/>
      <c r="W1070" s="1285"/>
      <c r="X1070" s="1285"/>
      <c r="Y1070" s="1285"/>
      <c r="Z1070" s="1285"/>
      <c r="AA1070" s="1285"/>
      <c r="AB1070" s="1285"/>
      <c r="AC1070" s="1285"/>
      <c r="AD1070" s="1285"/>
      <c r="AE1070" s="1285"/>
      <c r="AF1070" s="1285"/>
      <c r="AG1070" s="1285"/>
      <c r="AH1070" s="1285"/>
      <c r="AI1070" s="1285"/>
      <c r="AJ1070" s="1285"/>
      <c r="AK1070" s="1285"/>
      <c r="AL1070" s="1285"/>
      <c r="AM1070" s="1285"/>
      <c r="AN1070" s="1285"/>
      <c r="AO1070" s="1285"/>
      <c r="AP1070" s="1285"/>
      <c r="AQ1070" s="1285"/>
      <c r="AR1070" s="1285"/>
      <c r="AS1070" s="11"/>
      <c r="AT1070" s="1173"/>
      <c r="AV1070" s="1173"/>
      <c r="AW1070" s="1173"/>
      <c r="AX1070" s="1173"/>
      <c r="AY1070" s="1173"/>
    </row>
    <row r="1071" spans="1:54" ht="13" customHeight="1">
      <c r="A1071" s="1063"/>
      <c r="B1071" s="1063"/>
      <c r="C1071" s="1395"/>
      <c r="D1071" s="1395"/>
      <c r="E1071" s="1285"/>
      <c r="F1071" s="1285"/>
      <c r="G1071" s="1285"/>
      <c r="H1071" s="1285"/>
      <c r="I1071" s="1285"/>
      <c r="J1071" s="1285"/>
      <c r="K1071" s="1285"/>
      <c r="L1071" s="1285"/>
      <c r="M1071" s="1285"/>
      <c r="N1071" s="1285"/>
      <c r="O1071" s="1285"/>
      <c r="P1071" s="1285"/>
      <c r="Q1071" s="1285"/>
      <c r="R1071" s="1285"/>
      <c r="S1071" s="1285"/>
      <c r="T1071" s="1285"/>
      <c r="U1071" s="1285"/>
      <c r="V1071" s="1285"/>
      <c r="W1071" s="1285"/>
      <c r="X1071" s="1285"/>
      <c r="Y1071" s="1285"/>
      <c r="Z1071" s="1285"/>
      <c r="AA1071" s="1285"/>
      <c r="AB1071" s="1285"/>
      <c r="AC1071" s="1285"/>
      <c r="AD1071" s="1285"/>
      <c r="AE1071" s="1285"/>
      <c r="AF1071" s="1285"/>
      <c r="AG1071" s="1285"/>
      <c r="AH1071" s="1285"/>
      <c r="AI1071" s="1285"/>
      <c r="AJ1071" s="1285"/>
      <c r="AK1071" s="1285"/>
      <c r="AL1071" s="1285"/>
      <c r="AM1071" s="1285"/>
      <c r="AN1071" s="1285"/>
      <c r="AO1071" s="1285"/>
      <c r="AP1071" s="1285"/>
      <c r="AQ1071" s="1285"/>
      <c r="AR1071" s="1285"/>
      <c r="AS1071" s="11"/>
      <c r="AT1071" s="1173"/>
      <c r="AV1071" s="1173"/>
      <c r="AW1071" s="1173"/>
      <c r="AX1071" s="1173"/>
      <c r="AY1071" s="1173"/>
    </row>
    <row r="1072" spans="1:54" ht="13" customHeight="1">
      <c r="A1072" s="1063"/>
      <c r="B1072" s="1063"/>
      <c r="C1072" s="1395"/>
      <c r="D1072" s="1395"/>
      <c r="E1072" s="1285"/>
      <c r="F1072" s="1285"/>
      <c r="G1072" s="1285"/>
      <c r="H1072" s="1285"/>
      <c r="I1072" s="1285"/>
      <c r="J1072" s="1285"/>
      <c r="K1072" s="1285"/>
      <c r="L1072" s="1285"/>
      <c r="M1072" s="1285"/>
      <c r="N1072" s="1285"/>
      <c r="O1072" s="1285"/>
      <c r="P1072" s="1285"/>
      <c r="Q1072" s="1285"/>
      <c r="R1072" s="1285"/>
      <c r="S1072" s="1285"/>
      <c r="T1072" s="1285"/>
      <c r="U1072" s="1285"/>
      <c r="V1072" s="1285"/>
      <c r="W1072" s="1285"/>
      <c r="X1072" s="1285"/>
      <c r="Y1072" s="1285"/>
      <c r="Z1072" s="1285"/>
      <c r="AA1072" s="1285"/>
      <c r="AB1072" s="1285"/>
      <c r="AC1072" s="1285"/>
      <c r="AD1072" s="1285"/>
      <c r="AE1072" s="1285"/>
      <c r="AF1072" s="1285"/>
      <c r="AG1072" s="1285"/>
      <c r="AH1072" s="1285"/>
      <c r="AI1072" s="1285"/>
      <c r="AJ1072" s="1285"/>
      <c r="AK1072" s="1285"/>
      <c r="AL1072" s="1285"/>
      <c r="AM1072" s="1285"/>
      <c r="AN1072" s="1285"/>
      <c r="AO1072" s="1285"/>
      <c r="AP1072" s="1285"/>
      <c r="AQ1072" s="1285"/>
      <c r="AR1072" s="1285"/>
      <c r="AS1072" s="11"/>
      <c r="AT1072" s="1173"/>
      <c r="AV1072" s="1173"/>
      <c r="AW1072" s="1173"/>
      <c r="AX1072" s="1173"/>
      <c r="AY1072" s="1173"/>
    </row>
    <row r="1073" spans="1:51" ht="13" customHeight="1">
      <c r="A1073" s="1063"/>
      <c r="B1073" s="1063"/>
      <c r="C1073" s="1395"/>
      <c r="D1073" s="1395"/>
      <c r="E1073" s="1285"/>
      <c r="F1073" s="1285"/>
      <c r="G1073" s="1285"/>
      <c r="H1073" s="1285"/>
      <c r="I1073" s="1285"/>
      <c r="J1073" s="1285"/>
      <c r="K1073" s="1285"/>
      <c r="L1073" s="1285"/>
      <c r="M1073" s="1285"/>
      <c r="N1073" s="1285"/>
      <c r="O1073" s="1285"/>
      <c r="P1073" s="1285"/>
      <c r="Q1073" s="1285"/>
      <c r="R1073" s="1285"/>
      <c r="S1073" s="1285"/>
      <c r="T1073" s="1285"/>
      <c r="U1073" s="1285"/>
      <c r="V1073" s="1285"/>
      <c r="W1073" s="1285"/>
      <c r="X1073" s="1285"/>
      <c r="Y1073" s="1285"/>
      <c r="Z1073" s="1285"/>
      <c r="AA1073" s="1285"/>
      <c r="AB1073" s="1285"/>
      <c r="AC1073" s="1285"/>
      <c r="AD1073" s="1285"/>
      <c r="AE1073" s="1285"/>
      <c r="AF1073" s="1285"/>
      <c r="AG1073" s="1285"/>
      <c r="AH1073" s="1285"/>
      <c r="AI1073" s="1285"/>
      <c r="AJ1073" s="1285"/>
      <c r="AK1073" s="1285"/>
      <c r="AL1073" s="1285"/>
      <c r="AM1073" s="1285"/>
      <c r="AN1073" s="1285"/>
      <c r="AO1073" s="1285"/>
      <c r="AP1073" s="1285"/>
      <c r="AQ1073" s="1285"/>
      <c r="AR1073" s="1285"/>
      <c r="AS1073" s="11"/>
      <c r="AT1073" s="1173"/>
      <c r="AV1073" s="1173"/>
      <c r="AW1073" s="1173"/>
      <c r="AX1073" s="1173"/>
      <c r="AY1073" s="1173"/>
    </row>
    <row r="1074" spans="1:51" ht="13" customHeight="1">
      <c r="A1074" s="1"/>
      <c r="B1074" s="19"/>
      <c r="C1074" s="1395"/>
      <c r="D1074" s="1395"/>
      <c r="E1074" s="1044"/>
      <c r="F1074" s="1044"/>
      <c r="G1074" s="1044"/>
      <c r="H1074" s="1044"/>
      <c r="I1074" s="1044"/>
      <c r="J1074" s="1044"/>
      <c r="K1074" s="1044"/>
      <c r="L1074" s="1044"/>
      <c r="M1074" s="1044"/>
      <c r="N1074" s="1044"/>
      <c r="O1074" s="1044"/>
      <c r="P1074" s="1044"/>
      <c r="Q1074" s="1044"/>
      <c r="R1074" s="1044"/>
      <c r="S1074" s="1044"/>
      <c r="T1074" s="1044"/>
      <c r="U1074" s="1044"/>
      <c r="V1074" s="1044"/>
      <c r="W1074" s="1044"/>
      <c r="X1074" s="1044"/>
      <c r="Y1074" s="1044"/>
      <c r="Z1074" s="1044"/>
      <c r="AA1074" s="1044"/>
      <c r="AB1074" s="1044"/>
      <c r="AC1074" s="1044"/>
      <c r="AD1074" s="1044"/>
      <c r="AE1074" s="1044"/>
      <c r="AF1074" s="1044"/>
      <c r="AG1074" s="1044"/>
      <c r="AH1074" s="1044"/>
      <c r="AI1074" s="1044"/>
      <c r="AJ1074" s="1044"/>
      <c r="AK1074" s="1044"/>
      <c r="AL1074" s="1173"/>
      <c r="AM1074" s="1173"/>
      <c r="AN1074" s="1173"/>
      <c r="AO1074" s="1173"/>
      <c r="AP1074" s="1173"/>
      <c r="AQ1074" s="1173"/>
      <c r="AR1074" s="1173"/>
      <c r="AS1074" s="11"/>
      <c r="AT1074" s="1173"/>
      <c r="AV1074" s="1173"/>
      <c r="AW1074" s="1173"/>
      <c r="AX1074" s="1173"/>
      <c r="AY1074" s="1173"/>
    </row>
    <row r="1075" spans="1:51" ht="13" customHeight="1">
      <c r="A1075" s="1353" t="s">
        <v>800</v>
      </c>
      <c r="B1075" s="1353"/>
      <c r="C1075" s="1395">
        <v>4</v>
      </c>
      <c r="D1075" s="1395"/>
      <c r="E1075" s="1285" t="s">
        <v>1757</v>
      </c>
      <c r="F1075" s="1285"/>
      <c r="G1075" s="1285"/>
      <c r="H1075" s="1285"/>
      <c r="I1075" s="1285"/>
      <c r="J1075" s="1285"/>
      <c r="K1075" s="1285"/>
      <c r="L1075" s="1285"/>
      <c r="M1075" s="1285"/>
      <c r="N1075" s="1285"/>
      <c r="O1075" s="1285"/>
      <c r="P1075" s="1285"/>
      <c r="Q1075" s="1285"/>
      <c r="R1075" s="1285"/>
      <c r="S1075" s="1285"/>
      <c r="T1075" s="1285"/>
      <c r="U1075" s="1285"/>
      <c r="V1075" s="1285"/>
      <c r="W1075" s="1285"/>
      <c r="X1075" s="1285"/>
      <c r="Y1075" s="1285"/>
      <c r="Z1075" s="1285"/>
      <c r="AA1075" s="1285"/>
      <c r="AB1075" s="1285"/>
      <c r="AC1075" s="1285"/>
      <c r="AD1075" s="1285"/>
      <c r="AE1075" s="1285"/>
      <c r="AF1075" s="1285"/>
      <c r="AG1075" s="1285"/>
      <c r="AH1075" s="1285"/>
      <c r="AI1075" s="1285"/>
      <c r="AJ1075" s="1285"/>
      <c r="AK1075" s="1285"/>
      <c r="AL1075" s="1285"/>
      <c r="AM1075" s="1285"/>
      <c r="AN1075" s="1285"/>
      <c r="AO1075" s="1285"/>
      <c r="AP1075" s="1285"/>
      <c r="AQ1075" s="1285"/>
      <c r="AR1075" s="1285"/>
      <c r="AS1075" s="11"/>
      <c r="AT1075" s="1173"/>
    </row>
    <row r="1076" spans="1:51" ht="13" customHeight="1">
      <c r="A1076" s="1063"/>
      <c r="B1076" s="1063"/>
      <c r="C1076" s="1395"/>
      <c r="D1076" s="1395"/>
      <c r="E1076" s="1285"/>
      <c r="F1076" s="1285"/>
      <c r="G1076" s="1285"/>
      <c r="H1076" s="1285"/>
      <c r="I1076" s="1285"/>
      <c r="J1076" s="1285"/>
      <c r="K1076" s="1285"/>
      <c r="L1076" s="1285"/>
      <c r="M1076" s="1285"/>
      <c r="N1076" s="1285"/>
      <c r="O1076" s="1285"/>
      <c r="P1076" s="1285"/>
      <c r="Q1076" s="1285"/>
      <c r="R1076" s="1285"/>
      <c r="S1076" s="1285"/>
      <c r="T1076" s="1285"/>
      <c r="U1076" s="1285"/>
      <c r="V1076" s="1285"/>
      <c r="W1076" s="1285"/>
      <c r="X1076" s="1285"/>
      <c r="Y1076" s="1285"/>
      <c r="Z1076" s="1285"/>
      <c r="AA1076" s="1285"/>
      <c r="AB1076" s="1285"/>
      <c r="AC1076" s="1285"/>
      <c r="AD1076" s="1285"/>
      <c r="AE1076" s="1285"/>
      <c r="AF1076" s="1285"/>
      <c r="AG1076" s="1285"/>
      <c r="AH1076" s="1285"/>
      <c r="AI1076" s="1285"/>
      <c r="AJ1076" s="1285"/>
      <c r="AK1076" s="1285"/>
      <c r="AL1076" s="1285"/>
      <c r="AM1076" s="1285"/>
      <c r="AN1076" s="1285"/>
      <c r="AO1076" s="1285"/>
      <c r="AP1076" s="1285"/>
      <c r="AQ1076" s="1285"/>
      <c r="AR1076" s="1285"/>
      <c r="AS1076" s="11"/>
      <c r="AT1076" s="1173"/>
    </row>
    <row r="1077" spans="1:51" ht="13" customHeight="1">
      <c r="A1077" s="1063"/>
      <c r="B1077" s="1063"/>
      <c r="C1077" s="1395"/>
      <c r="D1077" s="1395"/>
      <c r="E1077" s="1285"/>
      <c r="F1077" s="1285"/>
      <c r="G1077" s="1285"/>
      <c r="H1077" s="1285"/>
      <c r="I1077" s="1285"/>
      <c r="J1077" s="1285"/>
      <c r="K1077" s="1285"/>
      <c r="L1077" s="1285"/>
      <c r="M1077" s="1285"/>
      <c r="N1077" s="1285"/>
      <c r="O1077" s="1285"/>
      <c r="P1077" s="1285"/>
      <c r="Q1077" s="1285"/>
      <c r="R1077" s="1285"/>
      <c r="S1077" s="1285"/>
      <c r="T1077" s="1285"/>
      <c r="U1077" s="1285"/>
      <c r="V1077" s="1285"/>
      <c r="W1077" s="1285"/>
      <c r="X1077" s="1285"/>
      <c r="Y1077" s="1285"/>
      <c r="Z1077" s="1285"/>
      <c r="AA1077" s="1285"/>
      <c r="AB1077" s="1285"/>
      <c r="AC1077" s="1285"/>
      <c r="AD1077" s="1285"/>
      <c r="AE1077" s="1285"/>
      <c r="AF1077" s="1285"/>
      <c r="AG1077" s="1285"/>
      <c r="AH1077" s="1285"/>
      <c r="AI1077" s="1285"/>
      <c r="AJ1077" s="1285"/>
      <c r="AK1077" s="1285"/>
      <c r="AL1077" s="1285"/>
      <c r="AM1077" s="1285"/>
      <c r="AN1077" s="1285"/>
      <c r="AO1077" s="1285"/>
      <c r="AP1077" s="1285"/>
      <c r="AQ1077" s="1285"/>
      <c r="AR1077" s="1285"/>
      <c r="AS1077" s="11"/>
      <c r="AT1077" s="1173"/>
    </row>
    <row r="1078" spans="1:51" ht="13" customHeight="1">
      <c r="A1078" s="1063"/>
      <c r="B1078" s="1063"/>
      <c r="C1078" s="1395"/>
      <c r="D1078" s="1395"/>
      <c r="E1078" s="1285"/>
      <c r="F1078" s="1285"/>
      <c r="G1078" s="1285"/>
      <c r="H1078" s="1285"/>
      <c r="I1078" s="1285"/>
      <c r="J1078" s="1285"/>
      <c r="K1078" s="1285"/>
      <c r="L1078" s="1285"/>
      <c r="M1078" s="1285"/>
      <c r="N1078" s="1285"/>
      <c r="O1078" s="1285"/>
      <c r="P1078" s="1285"/>
      <c r="Q1078" s="1285"/>
      <c r="R1078" s="1285"/>
      <c r="S1078" s="1285"/>
      <c r="T1078" s="1285"/>
      <c r="U1078" s="1285"/>
      <c r="V1078" s="1285"/>
      <c r="W1078" s="1285"/>
      <c r="X1078" s="1285"/>
      <c r="Y1078" s="1285"/>
      <c r="Z1078" s="1285"/>
      <c r="AA1078" s="1285"/>
      <c r="AB1078" s="1285"/>
      <c r="AC1078" s="1285"/>
      <c r="AD1078" s="1285"/>
      <c r="AE1078" s="1285"/>
      <c r="AF1078" s="1285"/>
      <c r="AG1078" s="1285"/>
      <c r="AH1078" s="1285"/>
      <c r="AI1078" s="1285"/>
      <c r="AJ1078" s="1285"/>
      <c r="AK1078" s="1285"/>
      <c r="AL1078" s="1285"/>
      <c r="AM1078" s="1285"/>
      <c r="AN1078" s="1285"/>
      <c r="AO1078" s="1285"/>
      <c r="AP1078" s="1285"/>
      <c r="AQ1078" s="1285"/>
      <c r="AR1078" s="1285"/>
      <c r="AS1078" s="11"/>
      <c r="AT1078" s="1173"/>
    </row>
    <row r="1079" spans="1:51" ht="13" customHeight="1">
      <c r="A1079" s="1063"/>
      <c r="B1079" s="1063"/>
      <c r="C1079" s="1395"/>
      <c r="D1079" s="1395"/>
      <c r="E1079" s="1285"/>
      <c r="F1079" s="1285"/>
      <c r="G1079" s="1285"/>
      <c r="H1079" s="1285"/>
      <c r="I1079" s="1285"/>
      <c r="J1079" s="1285"/>
      <c r="K1079" s="1285"/>
      <c r="L1079" s="1285"/>
      <c r="M1079" s="1285"/>
      <c r="N1079" s="1285"/>
      <c r="O1079" s="1285"/>
      <c r="P1079" s="1285"/>
      <c r="Q1079" s="1285"/>
      <c r="R1079" s="1285"/>
      <c r="S1079" s="1285"/>
      <c r="T1079" s="1285"/>
      <c r="U1079" s="1285"/>
      <c r="V1079" s="1285"/>
      <c r="W1079" s="1285"/>
      <c r="X1079" s="1285"/>
      <c r="Y1079" s="1285"/>
      <c r="Z1079" s="1285"/>
      <c r="AA1079" s="1285"/>
      <c r="AB1079" s="1285"/>
      <c r="AC1079" s="1285"/>
      <c r="AD1079" s="1285"/>
      <c r="AE1079" s="1285"/>
      <c r="AF1079" s="1285"/>
      <c r="AG1079" s="1285"/>
      <c r="AH1079" s="1285"/>
      <c r="AI1079" s="1285"/>
      <c r="AJ1079" s="1285"/>
      <c r="AK1079" s="1285"/>
      <c r="AL1079" s="1285"/>
      <c r="AM1079" s="1285"/>
      <c r="AN1079" s="1285"/>
      <c r="AO1079" s="1285"/>
      <c r="AP1079" s="1285"/>
      <c r="AQ1079" s="1285"/>
      <c r="AR1079" s="1285"/>
      <c r="AS1079" s="11"/>
      <c r="AT1079" s="1173"/>
    </row>
    <row r="1080" spans="1:51" ht="13" customHeight="1">
      <c r="A1080" s="1063"/>
      <c r="B1080" s="1063"/>
      <c r="C1080" s="1395"/>
      <c r="D1080" s="1395"/>
      <c r="E1080" s="1044"/>
      <c r="F1080" s="1044"/>
      <c r="G1080" s="1044"/>
      <c r="H1080" s="1044"/>
      <c r="I1080" s="1044"/>
      <c r="J1080" s="1044"/>
      <c r="K1080" s="1044"/>
      <c r="L1080" s="1044"/>
      <c r="M1080" s="1044"/>
      <c r="N1080" s="1044"/>
      <c r="O1080" s="1044"/>
      <c r="P1080" s="1044"/>
      <c r="Q1080" s="1044"/>
      <c r="R1080" s="1044"/>
      <c r="S1080" s="1044"/>
      <c r="T1080" s="1044"/>
      <c r="U1080" s="1044"/>
      <c r="V1080" s="1044"/>
      <c r="W1080" s="1044"/>
      <c r="X1080" s="1044"/>
      <c r="Y1080" s="1044"/>
      <c r="Z1080" s="1044"/>
      <c r="AA1080" s="1044"/>
      <c r="AB1080" s="1044"/>
      <c r="AC1080" s="1044"/>
      <c r="AD1080" s="1044"/>
      <c r="AE1080" s="1044"/>
      <c r="AF1080" s="1044"/>
      <c r="AG1080" s="1044"/>
      <c r="AH1080" s="1044"/>
      <c r="AI1080" s="1044"/>
      <c r="AJ1080" s="1044"/>
      <c r="AK1080" s="1044"/>
      <c r="AS1080" s="11"/>
    </row>
    <row r="1081" spans="1:51" ht="13" customHeight="1">
      <c r="A1081" s="1353" t="s">
        <v>800</v>
      </c>
      <c r="B1081" s="1353"/>
      <c r="C1081" s="1395">
        <v>5</v>
      </c>
      <c r="D1081" s="1395"/>
      <c r="E1081" s="1285" t="s">
        <v>1758</v>
      </c>
      <c r="F1081" s="1285"/>
      <c r="G1081" s="1285"/>
      <c r="H1081" s="1285"/>
      <c r="I1081" s="1285"/>
      <c r="J1081" s="1285"/>
      <c r="K1081" s="1285"/>
      <c r="L1081" s="1285"/>
      <c r="M1081" s="1285"/>
      <c r="N1081" s="1285"/>
      <c r="O1081" s="1285"/>
      <c r="P1081" s="1285"/>
      <c r="Q1081" s="1285"/>
      <c r="R1081" s="1285"/>
      <c r="S1081" s="1285"/>
      <c r="T1081" s="1285"/>
      <c r="U1081" s="1285"/>
      <c r="V1081" s="1285"/>
      <c r="W1081" s="1285"/>
      <c r="X1081" s="1285"/>
      <c r="Y1081" s="1285"/>
      <c r="Z1081" s="1285"/>
      <c r="AA1081" s="1285"/>
      <c r="AB1081" s="1285"/>
      <c r="AC1081" s="1285"/>
      <c r="AD1081" s="1285"/>
      <c r="AE1081" s="1285"/>
      <c r="AF1081" s="1285"/>
      <c r="AG1081" s="1285"/>
      <c r="AH1081" s="1285"/>
      <c r="AI1081" s="1285"/>
      <c r="AJ1081" s="1285"/>
      <c r="AK1081" s="1285"/>
      <c r="AL1081" s="1285"/>
      <c r="AM1081" s="1285"/>
      <c r="AN1081" s="1285"/>
      <c r="AO1081" s="1285"/>
      <c r="AP1081" s="1285"/>
      <c r="AQ1081" s="1285"/>
      <c r="AR1081" s="1285"/>
      <c r="AS1081" s="11"/>
    </row>
    <row r="1082" spans="1:51" ht="13" customHeight="1">
      <c r="A1082" s="2"/>
      <c r="B1082" s="2"/>
      <c r="C1082" s="1395"/>
      <c r="D1082" s="1395"/>
      <c r="E1082" s="1285"/>
      <c r="F1082" s="1285"/>
      <c r="G1082" s="1285"/>
      <c r="H1082" s="1285"/>
      <c r="I1082" s="1285"/>
      <c r="J1082" s="1285"/>
      <c r="K1082" s="1285"/>
      <c r="L1082" s="1285"/>
      <c r="M1082" s="1285"/>
      <c r="N1082" s="1285"/>
      <c r="O1082" s="1285"/>
      <c r="P1082" s="1285"/>
      <c r="Q1082" s="1285"/>
      <c r="R1082" s="1285"/>
      <c r="S1082" s="1285"/>
      <c r="T1082" s="1285"/>
      <c r="U1082" s="1285"/>
      <c r="V1082" s="1285"/>
      <c r="W1082" s="1285"/>
      <c r="X1082" s="1285"/>
      <c r="Y1082" s="1285"/>
      <c r="Z1082" s="1285"/>
      <c r="AA1082" s="1285"/>
      <c r="AB1082" s="1285"/>
      <c r="AC1082" s="1285"/>
      <c r="AD1082" s="1285"/>
      <c r="AE1082" s="1285"/>
      <c r="AF1082" s="1285"/>
      <c r="AG1082" s="1285"/>
      <c r="AH1082" s="1285"/>
      <c r="AI1082" s="1285"/>
      <c r="AJ1082" s="1285"/>
      <c r="AK1082" s="1285"/>
      <c r="AL1082" s="1285"/>
      <c r="AM1082" s="1285"/>
      <c r="AN1082" s="1285"/>
      <c r="AO1082" s="1285"/>
      <c r="AP1082" s="1285"/>
      <c r="AQ1082" s="1285"/>
      <c r="AR1082" s="1285"/>
      <c r="AS1082" s="11"/>
    </row>
    <row r="1083" spans="1:51" ht="13" customHeight="1">
      <c r="A1083" s="2"/>
      <c r="B1083" s="2"/>
      <c r="C1083" s="1395"/>
      <c r="D1083" s="1395"/>
      <c r="E1083" s="1285"/>
      <c r="F1083" s="1285"/>
      <c r="G1083" s="1285"/>
      <c r="H1083" s="1285"/>
      <c r="I1083" s="1285"/>
      <c r="J1083" s="1285"/>
      <c r="K1083" s="1285"/>
      <c r="L1083" s="1285"/>
      <c r="M1083" s="1285"/>
      <c r="N1083" s="1285"/>
      <c r="O1083" s="1285"/>
      <c r="P1083" s="1285"/>
      <c r="Q1083" s="1285"/>
      <c r="R1083" s="1285"/>
      <c r="S1083" s="1285"/>
      <c r="T1083" s="1285"/>
      <c r="U1083" s="1285"/>
      <c r="V1083" s="1285"/>
      <c r="W1083" s="1285"/>
      <c r="X1083" s="1285"/>
      <c r="Y1083" s="1285"/>
      <c r="Z1083" s="1285"/>
      <c r="AA1083" s="1285"/>
      <c r="AB1083" s="1285"/>
      <c r="AC1083" s="1285"/>
      <c r="AD1083" s="1285"/>
      <c r="AE1083" s="1285"/>
      <c r="AF1083" s="1285"/>
      <c r="AG1083" s="1285"/>
      <c r="AH1083" s="1285"/>
      <c r="AI1083" s="1285"/>
      <c r="AJ1083" s="1285"/>
      <c r="AK1083" s="1285"/>
      <c r="AL1083" s="1285"/>
      <c r="AM1083" s="1285"/>
      <c r="AN1083" s="1285"/>
      <c r="AO1083" s="1285"/>
      <c r="AP1083" s="1285"/>
      <c r="AQ1083" s="1285"/>
      <c r="AR1083" s="1285"/>
      <c r="AS1083" s="11"/>
    </row>
    <row r="1084" spans="1:51" ht="13" customHeight="1">
      <c r="A1084" s="68"/>
      <c r="B1084" s="19"/>
      <c r="C1084" s="1395"/>
      <c r="D1084" s="1395"/>
      <c r="E1084" s="1044"/>
      <c r="F1084" s="1044"/>
      <c r="G1084" s="1044"/>
      <c r="H1084" s="1044"/>
      <c r="I1084" s="1044"/>
      <c r="J1084" s="1044"/>
      <c r="K1084" s="1044"/>
      <c r="L1084" s="1044"/>
      <c r="M1084" s="1044"/>
      <c r="N1084" s="1044"/>
      <c r="O1084" s="1044"/>
      <c r="P1084" s="1044"/>
      <c r="Q1084" s="1044"/>
      <c r="R1084" s="1044"/>
      <c r="S1084" s="1044"/>
      <c r="T1084" s="1044"/>
      <c r="U1084" s="1044"/>
      <c r="V1084" s="1044"/>
      <c r="W1084" s="1044"/>
      <c r="X1084" s="1044"/>
      <c r="Y1084" s="1044"/>
      <c r="Z1084" s="1044"/>
      <c r="AA1084" s="1044"/>
      <c r="AB1084" s="1044"/>
      <c r="AC1084" s="1044"/>
      <c r="AD1084" s="1044"/>
      <c r="AE1084" s="1044"/>
      <c r="AF1084" s="1044"/>
      <c r="AG1084" s="1044"/>
      <c r="AH1084" s="1044"/>
      <c r="AI1084" s="1044"/>
      <c r="AJ1084" s="1044"/>
      <c r="AK1084" s="1044"/>
      <c r="AS1084" s="11"/>
    </row>
    <row r="1085" spans="1:51" ht="13" customHeight="1">
      <c r="A1085" s="1353" t="s">
        <v>800</v>
      </c>
      <c r="B1085" s="1353"/>
      <c r="C1085" s="1395">
        <v>6</v>
      </c>
      <c r="D1085" s="1395"/>
      <c r="E1085" s="1285" t="s">
        <v>1759</v>
      </c>
      <c r="F1085" s="1285"/>
      <c r="G1085" s="1285"/>
      <c r="H1085" s="1285"/>
      <c r="I1085" s="1285"/>
      <c r="J1085" s="1285"/>
      <c r="K1085" s="1285"/>
      <c r="L1085" s="1285"/>
      <c r="M1085" s="1285"/>
      <c r="N1085" s="1285"/>
      <c r="O1085" s="1285"/>
      <c r="P1085" s="1285"/>
      <c r="Q1085" s="1285"/>
      <c r="R1085" s="1285"/>
      <c r="S1085" s="1285"/>
      <c r="T1085" s="1285"/>
      <c r="U1085" s="1285"/>
      <c r="V1085" s="1285"/>
      <c r="W1085" s="1285"/>
      <c r="X1085" s="1285"/>
      <c r="Y1085" s="1285"/>
      <c r="Z1085" s="1285"/>
      <c r="AA1085" s="1285"/>
      <c r="AB1085" s="1285"/>
      <c r="AC1085" s="1285"/>
      <c r="AD1085" s="1285"/>
      <c r="AE1085" s="1285"/>
      <c r="AF1085" s="1285"/>
      <c r="AG1085" s="1285"/>
      <c r="AH1085" s="1285"/>
      <c r="AI1085" s="1285"/>
      <c r="AJ1085" s="1285"/>
      <c r="AK1085" s="1285"/>
      <c r="AL1085" s="1285"/>
      <c r="AM1085" s="1285"/>
      <c r="AN1085" s="1285"/>
      <c r="AO1085" s="1285"/>
      <c r="AP1085" s="1285"/>
      <c r="AQ1085" s="1285"/>
      <c r="AR1085" s="1285"/>
      <c r="AS1085" s="11"/>
    </row>
    <row r="1086" spans="1:51" ht="13" customHeight="1">
      <c r="A1086" s="1063"/>
      <c r="B1086" s="1063"/>
      <c r="C1086" s="1063"/>
      <c r="D1086" s="1063"/>
      <c r="E1086" s="1285"/>
      <c r="F1086" s="1285"/>
      <c r="G1086" s="1285"/>
      <c r="H1086" s="1285"/>
      <c r="I1086" s="1285"/>
      <c r="J1086" s="1285"/>
      <c r="K1086" s="1285"/>
      <c r="L1086" s="1285"/>
      <c r="M1086" s="1285"/>
      <c r="N1086" s="1285"/>
      <c r="O1086" s="1285"/>
      <c r="P1086" s="1285"/>
      <c r="Q1086" s="1285"/>
      <c r="R1086" s="1285"/>
      <c r="S1086" s="1285"/>
      <c r="T1086" s="1285"/>
      <c r="U1086" s="1285"/>
      <c r="V1086" s="1285"/>
      <c r="W1086" s="1285"/>
      <c r="X1086" s="1285"/>
      <c r="Y1086" s="1285"/>
      <c r="Z1086" s="1285"/>
      <c r="AA1086" s="1285"/>
      <c r="AB1086" s="1285"/>
      <c r="AC1086" s="1285"/>
      <c r="AD1086" s="1285"/>
      <c r="AE1086" s="1285"/>
      <c r="AF1086" s="1285"/>
      <c r="AG1086" s="1285"/>
      <c r="AH1086" s="1285"/>
      <c r="AI1086" s="1285"/>
      <c r="AJ1086" s="1285"/>
      <c r="AK1086" s="1285"/>
      <c r="AL1086" s="1285"/>
      <c r="AM1086" s="1285"/>
      <c r="AN1086" s="1285"/>
      <c r="AO1086" s="1285"/>
      <c r="AP1086" s="1285"/>
      <c r="AQ1086" s="1285"/>
      <c r="AR1086" s="1285"/>
      <c r="AS1086" s="11"/>
    </row>
    <row r="1087" spans="1:51" ht="13" customHeight="1">
      <c r="A1087" s="1063"/>
      <c r="B1087" s="1063"/>
      <c r="C1087" s="1395"/>
      <c r="D1087" s="1395"/>
      <c r="E1087" s="1285"/>
      <c r="F1087" s="1285"/>
      <c r="G1087" s="1285"/>
      <c r="H1087" s="1285"/>
      <c r="I1087" s="1285"/>
      <c r="J1087" s="1285"/>
      <c r="K1087" s="1285"/>
      <c r="L1087" s="1285"/>
      <c r="M1087" s="1285"/>
      <c r="N1087" s="1285"/>
      <c r="O1087" s="1285"/>
      <c r="P1087" s="1285"/>
      <c r="Q1087" s="1285"/>
      <c r="R1087" s="1285"/>
      <c r="S1087" s="1285"/>
      <c r="T1087" s="1285"/>
      <c r="U1087" s="1285"/>
      <c r="V1087" s="1285"/>
      <c r="W1087" s="1285"/>
      <c r="X1087" s="1285"/>
      <c r="Y1087" s="1285"/>
      <c r="Z1087" s="1285"/>
      <c r="AA1087" s="1285"/>
      <c r="AB1087" s="1285"/>
      <c r="AC1087" s="1285"/>
      <c r="AD1087" s="1285"/>
      <c r="AE1087" s="1285"/>
      <c r="AF1087" s="1285"/>
      <c r="AG1087" s="1285"/>
      <c r="AH1087" s="1285"/>
      <c r="AI1087" s="1285"/>
      <c r="AJ1087" s="1285"/>
      <c r="AK1087" s="1285"/>
      <c r="AL1087" s="1285"/>
      <c r="AM1087" s="1285"/>
      <c r="AN1087" s="1285"/>
      <c r="AO1087" s="1285"/>
      <c r="AP1087" s="1285"/>
      <c r="AQ1087" s="1285"/>
      <c r="AR1087" s="1285"/>
      <c r="AS1087" s="11"/>
    </row>
    <row r="1088" spans="1:51" ht="13" customHeight="1">
      <c r="A1088" s="68"/>
      <c r="B1088" s="19"/>
      <c r="C1088" s="1395"/>
      <c r="D1088" s="1395"/>
      <c r="E1088" s="1044"/>
      <c r="F1088" s="1044"/>
      <c r="G1088" s="1044"/>
      <c r="H1088" s="1044"/>
      <c r="I1088" s="1044"/>
      <c r="J1088" s="1044"/>
      <c r="K1088" s="1044"/>
      <c r="L1088" s="1044"/>
      <c r="M1088" s="1044"/>
      <c r="N1088" s="1044"/>
      <c r="O1088" s="1044"/>
      <c r="P1088" s="1044"/>
      <c r="Q1088" s="1044"/>
      <c r="R1088" s="1044"/>
      <c r="S1088" s="1044"/>
      <c r="T1088" s="1044"/>
      <c r="U1088" s="1044"/>
      <c r="V1088" s="1044"/>
      <c r="W1088" s="1044"/>
      <c r="X1088" s="1044"/>
      <c r="Y1088" s="1044"/>
      <c r="Z1088" s="1044"/>
      <c r="AA1088" s="1044"/>
      <c r="AB1088" s="1044"/>
      <c r="AC1088" s="1044"/>
      <c r="AD1088" s="1044"/>
      <c r="AE1088" s="1044"/>
      <c r="AF1088" s="1044"/>
      <c r="AG1088" s="1044"/>
      <c r="AH1088" s="1044"/>
      <c r="AI1088" s="1044"/>
      <c r="AJ1088" s="1044"/>
      <c r="AK1088" s="1044"/>
      <c r="AS1088" s="11"/>
    </row>
    <row r="1089" spans="1:45" ht="13" customHeight="1">
      <c r="A1089" s="1353" t="s">
        <v>800</v>
      </c>
      <c r="B1089" s="1353"/>
      <c r="C1089" s="1395">
        <v>7</v>
      </c>
      <c r="D1089" s="1395"/>
      <c r="E1089" s="1285" t="s">
        <v>1760</v>
      </c>
      <c r="F1089" s="1285"/>
      <c r="G1089" s="1285"/>
      <c r="H1089" s="1285"/>
      <c r="I1089" s="1285"/>
      <c r="J1089" s="1285"/>
      <c r="K1089" s="1285"/>
      <c r="L1089" s="1285"/>
      <c r="M1089" s="1285"/>
      <c r="N1089" s="1285"/>
      <c r="O1089" s="1285"/>
      <c r="P1089" s="1285"/>
      <c r="Q1089" s="1285"/>
      <c r="R1089" s="1285"/>
      <c r="S1089" s="1285"/>
      <c r="T1089" s="1285"/>
      <c r="U1089" s="1285"/>
      <c r="V1089" s="1285"/>
      <c r="W1089" s="1285"/>
      <c r="X1089" s="1285"/>
      <c r="Y1089" s="1285"/>
      <c r="Z1089" s="1285"/>
      <c r="AA1089" s="1285"/>
      <c r="AB1089" s="1285"/>
      <c r="AC1089" s="1285"/>
      <c r="AD1089" s="1285"/>
      <c r="AE1089" s="1285"/>
      <c r="AF1089" s="1285"/>
      <c r="AG1089" s="1285"/>
      <c r="AH1089" s="1285"/>
      <c r="AI1089" s="1285"/>
      <c r="AJ1089" s="1285"/>
      <c r="AK1089" s="1285"/>
      <c r="AL1089" s="1285"/>
      <c r="AM1089" s="1285"/>
      <c r="AN1089" s="1285"/>
      <c r="AO1089" s="1285"/>
      <c r="AP1089" s="1285"/>
      <c r="AQ1089" s="1285"/>
      <c r="AR1089" s="1285"/>
      <c r="AS1089" s="11"/>
    </row>
    <row r="1090" spans="1:45" ht="13" customHeight="1">
      <c r="A1090" s="1063"/>
      <c r="B1090" s="1063"/>
      <c r="C1090" s="1395"/>
      <c r="D1090" s="1395"/>
      <c r="E1090" s="1285"/>
      <c r="F1090" s="1285"/>
      <c r="G1090" s="1285"/>
      <c r="H1090" s="1285"/>
      <c r="I1090" s="1285"/>
      <c r="J1090" s="1285"/>
      <c r="K1090" s="1285"/>
      <c r="L1090" s="1285"/>
      <c r="M1090" s="1285"/>
      <c r="N1090" s="1285"/>
      <c r="O1090" s="1285"/>
      <c r="P1090" s="1285"/>
      <c r="Q1090" s="1285"/>
      <c r="R1090" s="1285"/>
      <c r="S1090" s="1285"/>
      <c r="T1090" s="1285"/>
      <c r="U1090" s="1285"/>
      <c r="V1090" s="1285"/>
      <c r="W1090" s="1285"/>
      <c r="X1090" s="1285"/>
      <c r="Y1090" s="1285"/>
      <c r="Z1090" s="1285"/>
      <c r="AA1090" s="1285"/>
      <c r="AB1090" s="1285"/>
      <c r="AC1090" s="1285"/>
      <c r="AD1090" s="1285"/>
      <c r="AE1090" s="1285"/>
      <c r="AF1090" s="1285"/>
      <c r="AG1090" s="1285"/>
      <c r="AH1090" s="1285"/>
      <c r="AI1090" s="1285"/>
      <c r="AJ1090" s="1285"/>
      <c r="AK1090" s="1285"/>
      <c r="AL1090" s="1285"/>
      <c r="AM1090" s="1285"/>
      <c r="AN1090" s="1285"/>
      <c r="AO1090" s="1285"/>
      <c r="AP1090" s="1285"/>
      <c r="AQ1090" s="1285"/>
      <c r="AR1090" s="1285"/>
      <c r="AS1090" s="11"/>
    </row>
    <row r="1091" spans="1:45" ht="13" customHeight="1">
      <c r="A1091" s="1063"/>
      <c r="B1091" s="1063"/>
      <c r="C1091" s="1395"/>
      <c r="D1091" s="1395"/>
      <c r="E1091" s="1285"/>
      <c r="F1091" s="1285"/>
      <c r="G1091" s="1285"/>
      <c r="H1091" s="1285"/>
      <c r="I1091" s="1285"/>
      <c r="J1091" s="1285"/>
      <c r="K1091" s="1285"/>
      <c r="L1091" s="1285"/>
      <c r="M1091" s="1285"/>
      <c r="N1091" s="1285"/>
      <c r="O1091" s="1285"/>
      <c r="P1091" s="1285"/>
      <c r="Q1091" s="1285"/>
      <c r="R1091" s="1285"/>
      <c r="S1091" s="1285"/>
      <c r="T1091" s="1285"/>
      <c r="U1091" s="1285"/>
      <c r="V1091" s="1285"/>
      <c r="W1091" s="1285"/>
      <c r="X1091" s="1285"/>
      <c r="Y1091" s="1285"/>
      <c r="Z1091" s="1285"/>
      <c r="AA1091" s="1285"/>
      <c r="AB1091" s="1285"/>
      <c r="AC1091" s="1285"/>
      <c r="AD1091" s="1285"/>
      <c r="AE1091" s="1285"/>
      <c r="AF1091" s="1285"/>
      <c r="AG1091" s="1285"/>
      <c r="AH1091" s="1285"/>
      <c r="AI1091" s="1285"/>
      <c r="AJ1091" s="1285"/>
      <c r="AK1091" s="1285"/>
      <c r="AL1091" s="1285"/>
      <c r="AM1091" s="1285"/>
      <c r="AN1091" s="1285"/>
      <c r="AO1091" s="1285"/>
      <c r="AP1091" s="1285"/>
      <c r="AQ1091" s="1285"/>
      <c r="AR1091" s="1285"/>
      <c r="AS1091" s="11"/>
    </row>
    <row r="1092" spans="1:45" ht="13" customHeight="1">
      <c r="A1092" s="1063"/>
      <c r="B1092" s="1063"/>
      <c r="C1092" s="1395"/>
      <c r="D1092" s="1395"/>
      <c r="E1092" s="1044"/>
      <c r="F1092" s="1044"/>
      <c r="G1092" s="1044"/>
      <c r="H1092" s="1044"/>
      <c r="I1092" s="1044"/>
      <c r="J1092" s="1044"/>
      <c r="K1092" s="1044"/>
      <c r="L1092" s="1044"/>
      <c r="M1092" s="1044"/>
      <c r="N1092" s="1044"/>
      <c r="O1092" s="1044"/>
      <c r="P1092" s="1044"/>
      <c r="Q1092" s="1044"/>
      <c r="R1092" s="1044"/>
      <c r="S1092" s="1044"/>
      <c r="T1092" s="1044"/>
      <c r="U1092" s="1044"/>
      <c r="V1092" s="1044"/>
      <c r="W1092" s="1044"/>
      <c r="X1092" s="1044"/>
      <c r="Y1092" s="1044"/>
      <c r="Z1092" s="1044"/>
      <c r="AA1092" s="1044"/>
      <c r="AB1092" s="1044"/>
      <c r="AC1092" s="1044"/>
      <c r="AD1092" s="1044"/>
      <c r="AE1092" s="1044"/>
      <c r="AF1092" s="1044"/>
      <c r="AG1092" s="1044"/>
      <c r="AH1092" s="1044"/>
      <c r="AI1092" s="1044"/>
      <c r="AJ1092" s="1044"/>
      <c r="AK1092" s="1044"/>
    </row>
    <row r="1093" spans="1:45" ht="13" customHeight="1">
      <c r="A1093" s="68"/>
      <c r="B1093" s="19"/>
      <c r="C1093" s="1395"/>
      <c r="D1093" s="1395"/>
      <c r="E1093" s="1044"/>
      <c r="F1093" s="1044"/>
      <c r="G1093" s="1044"/>
      <c r="H1093" s="1044"/>
      <c r="I1093" s="1044"/>
      <c r="J1093" s="1044"/>
      <c r="K1093" s="1044"/>
      <c r="L1093" s="1044"/>
      <c r="M1093" s="1044"/>
      <c r="N1093" s="1044"/>
      <c r="O1093" s="1044"/>
      <c r="P1093" s="1044"/>
      <c r="Q1093" s="1044"/>
      <c r="R1093" s="1044"/>
      <c r="S1093" s="1044"/>
      <c r="T1093" s="1044"/>
      <c r="U1093" s="1044"/>
      <c r="V1093" s="1044"/>
      <c r="W1093" s="1044"/>
      <c r="X1093" s="1044"/>
      <c r="Y1093" s="1044"/>
      <c r="Z1093" s="1044"/>
      <c r="AA1093" s="1044"/>
      <c r="AB1093" s="1044"/>
      <c r="AC1093" s="1044"/>
      <c r="AD1093" s="1044"/>
      <c r="AE1093" s="1044"/>
      <c r="AF1093" s="1044"/>
      <c r="AG1093" s="1044"/>
      <c r="AH1093" s="1044"/>
      <c r="AI1093" s="1044"/>
      <c r="AJ1093" s="1044"/>
      <c r="AK1093" s="1044"/>
    </row>
    <row r="1094" spans="1:45" ht="13" customHeight="1">
      <c r="A1094" s="1353" t="s">
        <v>800</v>
      </c>
      <c r="B1094" s="1353"/>
      <c r="C1094" s="1395">
        <v>8</v>
      </c>
      <c r="D1094" s="1395"/>
      <c r="E1094" s="1285" t="s">
        <v>1761</v>
      </c>
      <c r="F1094" s="1285"/>
      <c r="G1094" s="1285"/>
      <c r="H1094" s="1285"/>
      <c r="I1094" s="1285"/>
      <c r="J1094" s="1285"/>
      <c r="K1094" s="1285"/>
      <c r="L1094" s="1285"/>
      <c r="M1094" s="1285"/>
      <c r="N1094" s="1285"/>
      <c r="O1094" s="1285"/>
      <c r="P1094" s="1285"/>
      <c r="Q1094" s="1285"/>
      <c r="R1094" s="1285"/>
      <c r="S1094" s="1285"/>
      <c r="T1094" s="1285"/>
      <c r="U1094" s="1285"/>
      <c r="V1094" s="1285"/>
      <c r="W1094" s="1285"/>
      <c r="X1094" s="1285"/>
      <c r="Y1094" s="1285"/>
      <c r="Z1094" s="1285"/>
      <c r="AA1094" s="1285"/>
      <c r="AB1094" s="1285"/>
      <c r="AC1094" s="1285"/>
      <c r="AD1094" s="1285"/>
      <c r="AE1094" s="1285"/>
      <c r="AF1094" s="1285"/>
      <c r="AG1094" s="1285"/>
      <c r="AH1094" s="1285"/>
      <c r="AI1094" s="1285"/>
      <c r="AJ1094" s="1285"/>
      <c r="AK1094" s="1285"/>
      <c r="AL1094" s="1285"/>
      <c r="AM1094" s="1285"/>
      <c r="AN1094" s="1285"/>
      <c r="AO1094" s="1285"/>
      <c r="AP1094" s="1285"/>
      <c r="AQ1094" s="1285"/>
      <c r="AR1094" s="1285"/>
    </row>
    <row r="1095" spans="1:45" ht="13" customHeight="1">
      <c r="A1095" s="68"/>
      <c r="B1095" s="19"/>
      <c r="C1095" s="1395"/>
      <c r="D1095" s="1395"/>
      <c r="E1095" s="1285"/>
      <c r="F1095" s="1285"/>
      <c r="G1095" s="1285"/>
      <c r="H1095" s="1285"/>
      <c r="I1095" s="1285"/>
      <c r="J1095" s="1285"/>
      <c r="K1095" s="1285"/>
      <c r="L1095" s="1285"/>
      <c r="M1095" s="1285"/>
      <c r="N1095" s="1285"/>
      <c r="O1095" s="1285"/>
      <c r="P1095" s="1285"/>
      <c r="Q1095" s="1285"/>
      <c r="R1095" s="1285"/>
      <c r="S1095" s="1285"/>
      <c r="T1095" s="1285"/>
      <c r="U1095" s="1285"/>
      <c r="V1095" s="1285"/>
      <c r="W1095" s="1285"/>
      <c r="X1095" s="1285"/>
      <c r="Y1095" s="1285"/>
      <c r="Z1095" s="1285"/>
      <c r="AA1095" s="1285"/>
      <c r="AB1095" s="1285"/>
      <c r="AC1095" s="1285"/>
      <c r="AD1095" s="1285"/>
      <c r="AE1095" s="1285"/>
      <c r="AF1095" s="1285"/>
      <c r="AG1095" s="1285"/>
      <c r="AH1095" s="1285"/>
      <c r="AI1095" s="1285"/>
      <c r="AJ1095" s="1285"/>
      <c r="AK1095" s="1285"/>
      <c r="AL1095" s="1285"/>
      <c r="AM1095" s="1285"/>
      <c r="AN1095" s="1285"/>
      <c r="AO1095" s="1285"/>
      <c r="AP1095" s="1285"/>
      <c r="AQ1095" s="1285"/>
      <c r="AR1095" s="1285"/>
    </row>
    <row r="1096" spans="1:45" ht="13" customHeight="1">
      <c r="A1096" s="68"/>
      <c r="B1096" s="19"/>
      <c r="C1096" s="1395"/>
      <c r="D1096" s="1395"/>
      <c r="E1096" s="1044"/>
      <c r="F1096" s="1044"/>
      <c r="G1096" s="1044"/>
      <c r="H1096" s="1044"/>
      <c r="I1096" s="1044"/>
      <c r="J1096" s="1044"/>
      <c r="K1096" s="1044"/>
      <c r="L1096" s="1044"/>
      <c r="M1096" s="1044"/>
      <c r="N1096" s="1044"/>
      <c r="O1096" s="1044"/>
      <c r="P1096" s="1044"/>
      <c r="Q1096" s="1044"/>
      <c r="R1096" s="1044"/>
      <c r="S1096" s="1044"/>
      <c r="T1096" s="1044"/>
      <c r="U1096" s="1044"/>
      <c r="V1096" s="1044"/>
      <c r="W1096" s="1044"/>
      <c r="X1096" s="1044"/>
      <c r="Y1096" s="1044"/>
      <c r="Z1096" s="1044"/>
      <c r="AA1096" s="1044"/>
      <c r="AB1096" s="1044"/>
      <c r="AC1096" s="1044"/>
      <c r="AD1096" s="1044"/>
      <c r="AE1096" s="1044"/>
      <c r="AF1096" s="1044"/>
      <c r="AG1096" s="1044"/>
      <c r="AH1096" s="1044"/>
      <c r="AI1096" s="1044"/>
      <c r="AJ1096" s="1044"/>
      <c r="AK1096" s="1044"/>
    </row>
    <row r="1097" spans="1:45" ht="13" customHeight="1">
      <c r="A1097" s="1353" t="s">
        <v>800</v>
      </c>
      <c r="B1097" s="1353"/>
      <c r="C1097" s="1552">
        <v>9</v>
      </c>
      <c r="D1097" s="1552"/>
      <c r="E1097" s="1285" t="s">
        <v>1762</v>
      </c>
      <c r="F1097" s="1285"/>
      <c r="G1097" s="1285"/>
      <c r="H1097" s="1285"/>
      <c r="I1097" s="1285"/>
      <c r="J1097" s="1285"/>
      <c r="K1097" s="1285"/>
      <c r="L1097" s="1285"/>
      <c r="M1097" s="1285"/>
      <c r="N1097" s="1285"/>
      <c r="O1097" s="1285"/>
      <c r="P1097" s="1285"/>
      <c r="Q1097" s="1285"/>
      <c r="R1097" s="1285"/>
      <c r="S1097" s="1285"/>
      <c r="T1097" s="1285"/>
      <c r="U1097" s="1285"/>
      <c r="V1097" s="1285"/>
      <c r="W1097" s="1285"/>
      <c r="X1097" s="1285"/>
      <c r="Y1097" s="1285"/>
      <c r="Z1097" s="1285"/>
      <c r="AA1097" s="1285"/>
      <c r="AB1097" s="1285"/>
      <c r="AC1097" s="1285"/>
      <c r="AD1097" s="1285"/>
      <c r="AE1097" s="1285"/>
      <c r="AF1097" s="1285"/>
      <c r="AG1097" s="1285"/>
      <c r="AH1097" s="1285"/>
      <c r="AI1097" s="1285"/>
      <c r="AJ1097" s="1285"/>
      <c r="AK1097" s="1285"/>
      <c r="AL1097" s="1285"/>
      <c r="AM1097" s="1285"/>
      <c r="AN1097" s="1285"/>
      <c r="AO1097" s="1285"/>
      <c r="AP1097" s="1285"/>
      <c r="AQ1097" s="1285"/>
      <c r="AR1097" s="1285"/>
    </row>
    <row r="1098" spans="1:45" ht="13" customHeight="1">
      <c r="A1098" s="1063"/>
      <c r="B1098" s="1063"/>
      <c r="C1098" s="1552"/>
      <c r="D1098" s="1552"/>
      <c r="E1098" s="1285"/>
      <c r="F1098" s="1285"/>
      <c r="G1098" s="1285"/>
      <c r="H1098" s="1285"/>
      <c r="I1098" s="1285"/>
      <c r="J1098" s="1285"/>
      <c r="K1098" s="1285"/>
      <c r="L1098" s="1285"/>
      <c r="M1098" s="1285"/>
      <c r="N1098" s="1285"/>
      <c r="O1098" s="1285"/>
      <c r="P1098" s="1285"/>
      <c r="Q1098" s="1285"/>
      <c r="R1098" s="1285"/>
      <c r="S1098" s="1285"/>
      <c r="T1098" s="1285"/>
      <c r="U1098" s="1285"/>
      <c r="V1098" s="1285"/>
      <c r="W1098" s="1285"/>
      <c r="X1098" s="1285"/>
      <c r="Y1098" s="1285"/>
      <c r="Z1098" s="1285"/>
      <c r="AA1098" s="1285"/>
      <c r="AB1098" s="1285"/>
      <c r="AC1098" s="1285"/>
      <c r="AD1098" s="1285"/>
      <c r="AE1098" s="1285"/>
      <c r="AF1098" s="1285"/>
      <c r="AG1098" s="1285"/>
      <c r="AH1098" s="1285"/>
      <c r="AI1098" s="1285"/>
      <c r="AJ1098" s="1285"/>
      <c r="AK1098" s="1285"/>
      <c r="AL1098" s="1285"/>
      <c r="AM1098" s="1285"/>
      <c r="AN1098" s="1285"/>
      <c r="AO1098" s="1285"/>
      <c r="AP1098" s="1285"/>
      <c r="AQ1098" s="1285"/>
      <c r="AR1098" s="1285"/>
    </row>
    <row r="1099" spans="1:45" ht="13" customHeight="1">
      <c r="A1099" s="68"/>
      <c r="B1099" s="19"/>
      <c r="C1099" s="1552"/>
      <c r="D1099" s="1552"/>
      <c r="E1099" s="1044"/>
      <c r="F1099" s="1044"/>
      <c r="G1099" s="1044"/>
      <c r="H1099" s="1044"/>
      <c r="I1099" s="1044"/>
      <c r="J1099" s="1044"/>
      <c r="K1099" s="1044"/>
      <c r="L1099" s="1044"/>
      <c r="M1099" s="1044"/>
      <c r="N1099" s="1044"/>
      <c r="O1099" s="1044"/>
      <c r="P1099" s="1044"/>
      <c r="Q1099" s="1044"/>
      <c r="R1099" s="1044"/>
      <c r="S1099" s="1044"/>
      <c r="T1099" s="1044"/>
      <c r="U1099" s="1044"/>
      <c r="V1099" s="1044"/>
      <c r="W1099" s="1044"/>
      <c r="X1099" s="1044"/>
      <c r="Y1099" s="1044"/>
      <c r="Z1099" s="1044"/>
      <c r="AA1099" s="1044"/>
      <c r="AB1099" s="1044"/>
      <c r="AC1099" s="1044"/>
      <c r="AD1099" s="1044"/>
      <c r="AE1099" s="1044"/>
      <c r="AF1099" s="1044"/>
      <c r="AG1099" s="1044"/>
      <c r="AH1099" s="1044"/>
      <c r="AI1099" s="1044"/>
      <c r="AJ1099" s="1044"/>
      <c r="AK1099" s="1044"/>
    </row>
    <row r="1100" spans="1:45" ht="13" customHeight="1">
      <c r="A1100" s="1353" t="s">
        <v>800</v>
      </c>
      <c r="B1100" s="1353"/>
      <c r="C1100" s="1552">
        <v>10</v>
      </c>
      <c r="D1100" s="1552"/>
      <c r="E1100" s="1787" t="s">
        <v>1763</v>
      </c>
      <c r="F1100" s="1787"/>
      <c r="G1100" s="1787"/>
      <c r="H1100" s="1787"/>
      <c r="I1100" s="1787"/>
      <c r="J1100" s="1787"/>
      <c r="K1100" s="1787"/>
      <c r="L1100" s="1787"/>
      <c r="M1100" s="1787"/>
      <c r="N1100" s="1787"/>
      <c r="O1100" s="1787"/>
      <c r="P1100" s="1787"/>
      <c r="Q1100" s="1787"/>
      <c r="R1100" s="1787"/>
      <c r="S1100" s="1787"/>
      <c r="T1100" s="1787"/>
      <c r="U1100" s="1787"/>
      <c r="V1100" s="1787"/>
      <c r="W1100" s="1787"/>
      <c r="X1100" s="1787"/>
      <c r="Y1100" s="1787"/>
      <c r="Z1100" s="1787"/>
      <c r="AA1100" s="1787"/>
      <c r="AB1100" s="1787"/>
      <c r="AC1100" s="1787"/>
      <c r="AD1100" s="1787"/>
      <c r="AE1100" s="1787"/>
      <c r="AF1100" s="1787"/>
      <c r="AG1100" s="1787"/>
      <c r="AH1100" s="1787"/>
      <c r="AI1100" s="1787"/>
      <c r="AJ1100" s="1787"/>
      <c r="AK1100" s="1787"/>
      <c r="AL1100" s="1787"/>
      <c r="AM1100" s="1787"/>
      <c r="AN1100" s="1787"/>
      <c r="AO1100" s="1787"/>
      <c r="AP1100" s="1787"/>
      <c r="AQ1100" s="1787"/>
      <c r="AR1100" s="1787"/>
    </row>
    <row r="1101" spans="1:45" ht="13" customHeight="1">
      <c r="A1101" s="1063"/>
      <c r="B1101" s="1063"/>
      <c r="C1101" s="1197"/>
      <c r="D1101" s="1062"/>
      <c r="E1101" s="1787"/>
      <c r="F1101" s="1787"/>
      <c r="G1101" s="1787"/>
      <c r="H1101" s="1787"/>
      <c r="I1101" s="1787"/>
      <c r="J1101" s="1787"/>
      <c r="K1101" s="1787"/>
      <c r="L1101" s="1787"/>
      <c r="M1101" s="1787"/>
      <c r="N1101" s="1787"/>
      <c r="O1101" s="1787"/>
      <c r="P1101" s="1787"/>
      <c r="Q1101" s="1787"/>
      <c r="R1101" s="1787"/>
      <c r="S1101" s="1787"/>
      <c r="T1101" s="1787"/>
      <c r="U1101" s="1787"/>
      <c r="V1101" s="1787"/>
      <c r="W1101" s="1787"/>
      <c r="X1101" s="1787"/>
      <c r="Y1101" s="1787"/>
      <c r="Z1101" s="1787"/>
      <c r="AA1101" s="1787"/>
      <c r="AB1101" s="1787"/>
      <c r="AC1101" s="1787"/>
      <c r="AD1101" s="1787"/>
      <c r="AE1101" s="1787"/>
      <c r="AF1101" s="1787"/>
      <c r="AG1101" s="1787"/>
      <c r="AH1101" s="1787"/>
      <c r="AI1101" s="1787"/>
      <c r="AJ1101" s="1787"/>
      <c r="AK1101" s="1787"/>
      <c r="AL1101" s="1787"/>
      <c r="AM1101" s="1787"/>
      <c r="AN1101" s="1787"/>
      <c r="AO1101" s="1787"/>
      <c r="AP1101" s="1787"/>
      <c r="AQ1101" s="1787"/>
      <c r="AR1101" s="1787"/>
    </row>
    <row r="1102" spans="1:45" ht="13" customHeight="1">
      <c r="A1102" s="1063"/>
      <c r="B1102" s="1063"/>
      <c r="C1102" s="1197"/>
      <c r="D1102" s="1062"/>
      <c r="E1102" s="1062"/>
      <c r="F1102" s="1062"/>
      <c r="G1102" s="1062"/>
      <c r="H1102" s="1062"/>
      <c r="I1102" s="1062"/>
      <c r="J1102" s="1062"/>
      <c r="K1102" s="1062"/>
      <c r="L1102" s="1062"/>
      <c r="M1102" s="1062"/>
      <c r="N1102" s="1062"/>
      <c r="O1102" s="1062"/>
      <c r="P1102" s="1062"/>
      <c r="Q1102" s="1062"/>
      <c r="R1102" s="1062"/>
      <c r="S1102" s="1062"/>
      <c r="T1102" s="1062"/>
      <c r="U1102" s="1062"/>
      <c r="V1102" s="1062"/>
      <c r="W1102" s="1062"/>
      <c r="X1102" s="1062"/>
      <c r="Y1102" s="1062"/>
      <c r="Z1102" s="1062"/>
      <c r="AA1102" s="1062"/>
      <c r="AB1102" s="1062"/>
      <c r="AC1102" s="1062"/>
      <c r="AD1102" s="1062"/>
      <c r="AE1102" s="1062"/>
      <c r="AF1102" s="1062"/>
      <c r="AG1102" s="1062"/>
      <c r="AH1102" s="1062"/>
      <c r="AI1102" s="1062"/>
      <c r="AJ1102" s="1062"/>
      <c r="AK1102" s="1062"/>
    </row>
    <row r="1103" spans="1:45" ht="13" customHeight="1">
      <c r="A1103" s="1353" t="s">
        <v>800</v>
      </c>
      <c r="B1103" s="1353"/>
      <c r="C1103" s="1552">
        <v>11</v>
      </c>
      <c r="D1103" s="1552"/>
      <c r="E1103" s="1787" t="s">
        <v>1764</v>
      </c>
      <c r="F1103" s="1787"/>
      <c r="G1103" s="1787"/>
      <c r="H1103" s="1787"/>
      <c r="I1103" s="1787"/>
      <c r="J1103" s="1787"/>
      <c r="K1103" s="1787"/>
      <c r="L1103" s="1787"/>
      <c r="M1103" s="1787"/>
      <c r="N1103" s="1787"/>
      <c r="O1103" s="1787"/>
      <c r="P1103" s="1787"/>
      <c r="Q1103" s="1787"/>
      <c r="R1103" s="1787"/>
      <c r="S1103" s="1787"/>
      <c r="T1103" s="1787"/>
      <c r="U1103" s="1787"/>
      <c r="V1103" s="1787"/>
      <c r="W1103" s="1787"/>
      <c r="X1103" s="1787"/>
      <c r="Y1103" s="1787"/>
      <c r="Z1103" s="1787"/>
      <c r="AA1103" s="1787"/>
      <c r="AB1103" s="1787"/>
      <c r="AC1103" s="1787"/>
      <c r="AD1103" s="1787"/>
      <c r="AE1103" s="1787"/>
      <c r="AF1103" s="1787"/>
      <c r="AG1103" s="1787"/>
      <c r="AH1103" s="1787"/>
      <c r="AI1103" s="1787"/>
      <c r="AJ1103" s="1787"/>
      <c r="AK1103" s="1787"/>
      <c r="AL1103" s="1787"/>
      <c r="AM1103" s="1787"/>
      <c r="AN1103" s="1787"/>
      <c r="AO1103" s="1787"/>
      <c r="AP1103" s="1787"/>
      <c r="AQ1103" s="1787"/>
      <c r="AR1103" s="1787"/>
    </row>
    <row r="1104" spans="1:45" ht="13" customHeight="1">
      <c r="A1104" s="1063"/>
      <c r="B1104" s="1063"/>
      <c r="C1104" s="1197"/>
      <c r="D1104" s="1062"/>
      <c r="E1104" s="1787"/>
      <c r="F1104" s="1787"/>
      <c r="G1104" s="1787"/>
      <c r="H1104" s="1787"/>
      <c r="I1104" s="1787"/>
      <c r="J1104" s="1787"/>
      <c r="K1104" s="1787"/>
      <c r="L1104" s="1787"/>
      <c r="M1104" s="1787"/>
      <c r="N1104" s="1787"/>
      <c r="O1104" s="1787"/>
      <c r="P1104" s="1787"/>
      <c r="Q1104" s="1787"/>
      <c r="R1104" s="1787"/>
      <c r="S1104" s="1787"/>
      <c r="T1104" s="1787"/>
      <c r="U1104" s="1787"/>
      <c r="V1104" s="1787"/>
      <c r="W1104" s="1787"/>
      <c r="X1104" s="1787"/>
      <c r="Y1104" s="1787"/>
      <c r="Z1104" s="1787"/>
      <c r="AA1104" s="1787"/>
      <c r="AB1104" s="1787"/>
      <c r="AC1104" s="1787"/>
      <c r="AD1104" s="1787"/>
      <c r="AE1104" s="1787"/>
      <c r="AF1104" s="1787"/>
      <c r="AG1104" s="1787"/>
      <c r="AH1104" s="1787"/>
      <c r="AI1104" s="1787"/>
      <c r="AJ1104" s="1787"/>
      <c r="AK1104" s="1787"/>
      <c r="AL1104" s="1787"/>
      <c r="AM1104" s="1787"/>
      <c r="AN1104" s="1787"/>
      <c r="AO1104" s="1787"/>
      <c r="AP1104" s="1787"/>
      <c r="AQ1104" s="1787"/>
      <c r="AR1104" s="1787"/>
    </row>
    <row r="1105" spans="1:37" ht="13" customHeight="1">
      <c r="A1105" s="1063"/>
      <c r="B1105" s="1063"/>
      <c r="C1105" s="1197"/>
      <c r="D1105" s="1062"/>
      <c r="E1105" s="1062"/>
      <c r="F1105" s="1062"/>
      <c r="G1105" s="1062"/>
      <c r="H1105" s="1062"/>
      <c r="I1105" s="1062"/>
      <c r="J1105" s="1062"/>
      <c r="K1105" s="1062"/>
      <c r="L1105" s="1062"/>
      <c r="M1105" s="1062"/>
      <c r="N1105" s="1062"/>
      <c r="O1105" s="1062"/>
      <c r="P1105" s="1062"/>
      <c r="Q1105" s="1062"/>
      <c r="R1105" s="1062"/>
      <c r="S1105" s="1062"/>
      <c r="T1105" s="1062"/>
      <c r="U1105" s="1062"/>
      <c r="V1105" s="1062"/>
      <c r="W1105" s="1062"/>
      <c r="X1105" s="1062"/>
      <c r="Y1105" s="1062"/>
      <c r="Z1105" s="1062"/>
      <c r="AA1105" s="1062"/>
      <c r="AB1105" s="1062"/>
      <c r="AC1105" s="1062"/>
      <c r="AD1105" s="1062"/>
      <c r="AE1105" s="1062"/>
      <c r="AF1105" s="1062"/>
      <c r="AG1105" s="1062"/>
      <c r="AH1105" s="1062"/>
      <c r="AI1105" s="1062"/>
      <c r="AJ1105" s="1062"/>
      <c r="AK1105" s="1062"/>
    </row>
    <row r="1106" spans="1:37" ht="13" hidden="1" customHeight="1">
      <c r="A1106" s="1063"/>
      <c r="B1106" s="1063"/>
      <c r="C1106" s="1197"/>
      <c r="D1106" s="1062"/>
      <c r="E1106" s="1062"/>
      <c r="F1106" s="1062"/>
      <c r="G1106" s="1062"/>
      <c r="H1106" s="1062"/>
      <c r="I1106" s="1062"/>
      <c r="J1106" s="1062"/>
      <c r="K1106" s="1062"/>
      <c r="L1106" s="1062"/>
      <c r="M1106" s="1062"/>
      <c r="N1106" s="1062"/>
      <c r="O1106" s="1062"/>
      <c r="P1106" s="1062"/>
      <c r="Q1106" s="1062"/>
      <c r="R1106" s="1062"/>
      <c r="S1106" s="1062"/>
      <c r="T1106" s="1062"/>
      <c r="U1106" s="1062"/>
      <c r="V1106" s="1062"/>
      <c r="W1106" s="1062"/>
      <c r="X1106" s="1062"/>
      <c r="Y1106" s="1062"/>
      <c r="Z1106" s="1062"/>
      <c r="AA1106" s="1062"/>
      <c r="AB1106" s="1062"/>
      <c r="AC1106" s="1062"/>
      <c r="AD1106" s="1062"/>
      <c r="AE1106" s="1062"/>
      <c r="AF1106" s="1062"/>
      <c r="AG1106" s="1062"/>
      <c r="AH1106" s="1062"/>
      <c r="AI1106" s="1062"/>
      <c r="AJ1106" s="1062"/>
      <c r="AK1106" s="1062"/>
    </row>
    <row r="1107" spans="1:37" ht="13" hidden="1" customHeight="1">
      <c r="A1107" s="1063"/>
      <c r="B1107" s="1063"/>
      <c r="C1107" s="1197"/>
      <c r="D1107" s="1062"/>
      <c r="E1107" s="1062"/>
      <c r="F1107" s="1062"/>
      <c r="G1107" s="1062"/>
      <c r="H1107" s="1062"/>
      <c r="I1107" s="1062"/>
      <c r="J1107" s="1062"/>
      <c r="K1107" s="1062"/>
      <c r="L1107" s="1062"/>
      <c r="M1107" s="1062"/>
      <c r="N1107" s="1062"/>
      <c r="O1107" s="1062"/>
      <c r="P1107" s="1062"/>
      <c r="Q1107" s="1062"/>
      <c r="R1107" s="1062"/>
      <c r="S1107" s="1062"/>
      <c r="T1107" s="1062"/>
      <c r="U1107" s="1062"/>
      <c r="V1107" s="1062"/>
      <c r="W1107" s="1062"/>
      <c r="X1107" s="1062"/>
      <c r="Y1107" s="1062"/>
      <c r="Z1107" s="1062"/>
      <c r="AA1107" s="1062"/>
      <c r="AB1107" s="1062"/>
      <c r="AC1107" s="1062"/>
      <c r="AD1107" s="1062"/>
      <c r="AE1107" s="1062"/>
      <c r="AF1107" s="1062"/>
      <c r="AG1107" s="1062"/>
      <c r="AH1107" s="1062"/>
      <c r="AI1107" s="1062"/>
      <c r="AJ1107" s="1062"/>
      <c r="AK1107" s="1062"/>
    </row>
    <row r="1108" spans="1:37" ht="13" hidden="1" customHeight="1">
      <c r="A1108" s="1063"/>
      <c r="B1108" s="1063"/>
      <c r="C1108" s="1197"/>
      <c r="D1108" s="1062"/>
      <c r="E1108" s="1062"/>
      <c r="F1108" s="1062"/>
      <c r="G1108" s="1062"/>
      <c r="H1108" s="1062"/>
      <c r="I1108" s="1062"/>
      <c r="J1108" s="1062"/>
      <c r="K1108" s="1062"/>
      <c r="L1108" s="1062"/>
      <c r="M1108" s="1062"/>
      <c r="N1108" s="1062"/>
      <c r="O1108" s="1062"/>
      <c r="P1108" s="1062"/>
      <c r="Q1108" s="1062"/>
      <c r="R1108" s="1062"/>
      <c r="S1108" s="1062"/>
      <c r="T1108" s="1062"/>
      <c r="U1108" s="1062"/>
      <c r="V1108" s="1062"/>
      <c r="W1108" s="1062"/>
      <c r="X1108" s="1062"/>
      <c r="Y1108" s="1062"/>
      <c r="Z1108" s="1062"/>
      <c r="AA1108" s="1062"/>
      <c r="AB1108" s="1062"/>
      <c r="AC1108" s="1062"/>
      <c r="AD1108" s="1062"/>
      <c r="AE1108" s="1062"/>
      <c r="AF1108" s="1062"/>
      <c r="AG1108" s="1062"/>
      <c r="AH1108" s="1062"/>
      <c r="AI1108" s="1062"/>
      <c r="AJ1108" s="1062"/>
      <c r="AK1108" s="1062"/>
    </row>
    <row r="1109" spans="1:37" ht="13" hidden="1" customHeight="1">
      <c r="A1109" s="1063"/>
      <c r="B1109" s="1063"/>
      <c r="C1109" s="1197"/>
      <c r="D1109" s="1062"/>
      <c r="E1109" s="1062"/>
      <c r="F1109" s="1062"/>
      <c r="G1109" s="1062"/>
      <c r="H1109" s="1062"/>
      <c r="I1109" s="1062"/>
      <c r="J1109" s="1062"/>
      <c r="K1109" s="1062"/>
      <c r="L1109" s="1062"/>
      <c r="M1109" s="1062"/>
      <c r="N1109" s="1062"/>
      <c r="O1109" s="1062"/>
      <c r="P1109" s="1062"/>
      <c r="Q1109" s="1062"/>
      <c r="R1109" s="1062"/>
      <c r="S1109" s="1062"/>
      <c r="T1109" s="1062"/>
      <c r="U1109" s="1062"/>
      <c r="V1109" s="1062"/>
      <c r="W1109" s="1062"/>
      <c r="X1109" s="1062"/>
      <c r="Y1109" s="1062"/>
      <c r="Z1109" s="1062"/>
      <c r="AA1109" s="1062"/>
      <c r="AB1109" s="1062"/>
      <c r="AC1109" s="1062"/>
      <c r="AD1109" s="1062"/>
      <c r="AE1109" s="1062"/>
      <c r="AF1109" s="1062"/>
      <c r="AG1109" s="1062"/>
      <c r="AH1109" s="1062"/>
      <c r="AI1109" s="1062"/>
      <c r="AJ1109" s="1062"/>
      <c r="AK1109" s="1062"/>
    </row>
    <row r="1110" spans="1:37" ht="13" hidden="1" customHeight="1">
      <c r="A1110" s="1063"/>
      <c r="B1110" s="1063"/>
      <c r="C1110" s="1197"/>
      <c r="D1110" s="1062"/>
      <c r="E1110" s="1062"/>
      <c r="F1110" s="1062"/>
      <c r="G1110" s="1062"/>
      <c r="H1110" s="1062"/>
      <c r="I1110" s="1062"/>
      <c r="J1110" s="1062"/>
      <c r="K1110" s="1062"/>
      <c r="L1110" s="1062"/>
      <c r="M1110" s="1062"/>
      <c r="N1110" s="1062"/>
      <c r="O1110" s="1062"/>
      <c r="P1110" s="1062"/>
      <c r="Q1110" s="1062"/>
      <c r="R1110" s="1062"/>
      <c r="S1110" s="1062"/>
      <c r="T1110" s="1062"/>
      <c r="U1110" s="1062"/>
      <c r="V1110" s="1062"/>
      <c r="W1110" s="1062"/>
      <c r="X1110" s="1062"/>
      <c r="Y1110" s="1062"/>
      <c r="Z1110" s="1062"/>
      <c r="AA1110" s="1062"/>
      <c r="AB1110" s="1062"/>
      <c r="AC1110" s="1062"/>
      <c r="AD1110" s="1062"/>
      <c r="AE1110" s="1062"/>
      <c r="AF1110" s="1062"/>
      <c r="AG1110" s="1062"/>
      <c r="AH1110" s="1062"/>
      <c r="AI1110" s="1062"/>
      <c r="AJ1110" s="1062"/>
      <c r="AK1110" s="1062"/>
    </row>
    <row r="1111" spans="1:37" ht="13" hidden="1" customHeight="1">
      <c r="A1111" s="1063"/>
      <c r="B1111" s="1063"/>
      <c r="C1111" s="1197"/>
      <c r="D1111" s="1062"/>
      <c r="E1111" s="1062"/>
      <c r="F1111" s="1062"/>
      <c r="G1111" s="1062"/>
      <c r="H1111" s="1062"/>
      <c r="I1111" s="1062"/>
      <c r="J1111" s="1062"/>
      <c r="K1111" s="1062"/>
      <c r="L1111" s="1062"/>
      <c r="M1111" s="1062"/>
      <c r="N1111" s="1062"/>
      <c r="O1111" s="1062"/>
      <c r="P1111" s="1062"/>
      <c r="Q1111" s="1062"/>
      <c r="R1111" s="1062"/>
      <c r="S1111" s="1062"/>
      <c r="T1111" s="1062"/>
      <c r="U1111" s="1062"/>
      <c r="V1111" s="1062"/>
      <c r="W1111" s="1062"/>
      <c r="X1111" s="1062"/>
      <c r="Y1111" s="1062"/>
      <c r="Z1111" s="1062"/>
      <c r="AA1111" s="1062"/>
      <c r="AB1111" s="1062"/>
      <c r="AC1111" s="1062"/>
      <c r="AD1111" s="1062"/>
      <c r="AE1111" s="1062"/>
      <c r="AF1111" s="1062"/>
      <c r="AG1111" s="1062"/>
      <c r="AH1111" s="1062"/>
      <c r="AI1111" s="1062"/>
      <c r="AJ1111" s="1062"/>
      <c r="AK1111" s="1062"/>
    </row>
    <row r="1112" spans="1:37" ht="13" hidden="1" customHeight="1">
      <c r="A1112" s="1063"/>
      <c r="B1112" s="1063"/>
      <c r="C1112" s="1197"/>
      <c r="D1112" s="1062"/>
      <c r="E1112" s="1062"/>
      <c r="F1112" s="1062"/>
      <c r="G1112" s="1062"/>
      <c r="H1112" s="1062"/>
      <c r="I1112" s="1062"/>
      <c r="J1112" s="1062"/>
      <c r="K1112" s="1062"/>
      <c r="L1112" s="1062"/>
      <c r="M1112" s="1062"/>
      <c r="N1112" s="1062"/>
      <c r="O1112" s="1062"/>
      <c r="P1112" s="1062"/>
      <c r="Q1112" s="1062"/>
      <c r="R1112" s="1062"/>
      <c r="S1112" s="1062"/>
      <c r="T1112" s="1062"/>
      <c r="U1112" s="1062"/>
      <c r="V1112" s="1062"/>
      <c r="W1112" s="1062"/>
      <c r="X1112" s="1062"/>
      <c r="Y1112" s="1062"/>
      <c r="Z1112" s="1062"/>
      <c r="AA1112" s="1062"/>
      <c r="AB1112" s="1062"/>
      <c r="AC1112" s="1062"/>
      <c r="AD1112" s="1062"/>
      <c r="AE1112" s="1062"/>
      <c r="AF1112" s="1062"/>
      <c r="AG1112" s="1062"/>
      <c r="AH1112" s="1062"/>
      <c r="AI1112" s="1062"/>
      <c r="AJ1112" s="1062"/>
      <c r="AK1112" s="1062"/>
    </row>
    <row r="1113" spans="1:37" ht="13" hidden="1" customHeight="1">
      <c r="A1113" s="1063"/>
      <c r="B1113" s="1063"/>
      <c r="C1113" s="1197"/>
      <c r="D1113" s="1062"/>
      <c r="E1113" s="1062"/>
      <c r="F1113" s="1062"/>
      <c r="G1113" s="1062"/>
      <c r="H1113" s="1062"/>
      <c r="I1113" s="1062"/>
      <c r="J1113" s="1062"/>
      <c r="K1113" s="1062"/>
      <c r="L1113" s="1062"/>
      <c r="M1113" s="1062"/>
      <c r="N1113" s="1062"/>
      <c r="O1113" s="1062"/>
      <c r="P1113" s="1062"/>
      <c r="Q1113" s="1062"/>
      <c r="R1113" s="1062"/>
      <c r="S1113" s="1062"/>
      <c r="T1113" s="1062"/>
      <c r="U1113" s="1062"/>
      <c r="V1113" s="1062"/>
      <c r="W1113" s="1062"/>
      <c r="X1113" s="1062"/>
      <c r="Y1113" s="1062"/>
      <c r="Z1113" s="1062"/>
      <c r="AA1113" s="1062"/>
      <c r="AB1113" s="1062"/>
      <c r="AC1113" s="1062"/>
      <c r="AD1113" s="1062"/>
      <c r="AE1113" s="1062"/>
      <c r="AF1113" s="1062"/>
      <c r="AG1113" s="1062"/>
      <c r="AH1113" s="1062"/>
      <c r="AI1113" s="1062"/>
      <c r="AJ1113" s="1062"/>
      <c r="AK1113" s="1062"/>
    </row>
    <row r="1114" spans="1:37" ht="13" hidden="1" customHeight="1">
      <c r="A1114" s="1063"/>
      <c r="B1114" s="1063"/>
      <c r="C1114" s="1197"/>
      <c r="D1114" s="1062"/>
      <c r="E1114" s="1062"/>
      <c r="F1114" s="1062"/>
      <c r="G1114" s="1062"/>
      <c r="H1114" s="1062"/>
      <c r="I1114" s="1062"/>
      <c r="J1114" s="1062"/>
      <c r="K1114" s="1062"/>
      <c r="L1114" s="1062"/>
      <c r="M1114" s="1062"/>
      <c r="N1114" s="1062"/>
      <c r="O1114" s="1062"/>
      <c r="P1114" s="1062"/>
      <c r="Q1114" s="1062"/>
      <c r="R1114" s="1062"/>
      <c r="S1114" s="1062"/>
      <c r="T1114" s="1062"/>
      <c r="U1114" s="1062"/>
      <c r="V1114" s="1062"/>
      <c r="W1114" s="1062"/>
      <c r="X1114" s="1062"/>
      <c r="Y1114" s="1062"/>
      <c r="Z1114" s="1062"/>
      <c r="AA1114" s="1062"/>
      <c r="AB1114" s="1062"/>
      <c r="AC1114" s="1062"/>
      <c r="AD1114" s="1062"/>
      <c r="AE1114" s="1062"/>
      <c r="AF1114" s="1062"/>
      <c r="AG1114" s="1062"/>
      <c r="AH1114" s="1062"/>
      <c r="AI1114" s="1062"/>
      <c r="AJ1114" s="1062"/>
      <c r="AK1114" s="1062"/>
    </row>
    <row r="1115" spans="1:37" ht="13" hidden="1" customHeight="1">
      <c r="A1115" s="1063"/>
      <c r="B1115" s="1063"/>
      <c r="C1115" s="1197"/>
      <c r="D1115" s="1062"/>
      <c r="E1115" s="1062"/>
      <c r="F1115" s="1062"/>
      <c r="G1115" s="1062"/>
      <c r="H1115" s="1062"/>
      <c r="I1115" s="1062"/>
      <c r="J1115" s="1062"/>
      <c r="K1115" s="1062"/>
      <c r="L1115" s="1062"/>
      <c r="M1115" s="1062"/>
      <c r="N1115" s="1062"/>
      <c r="O1115" s="1062"/>
      <c r="P1115" s="1062"/>
      <c r="Q1115" s="1062"/>
      <c r="R1115" s="1062"/>
      <c r="S1115" s="1062"/>
      <c r="T1115" s="1062"/>
      <c r="U1115" s="1062"/>
      <c r="V1115" s="1062"/>
      <c r="W1115" s="1062"/>
      <c r="X1115" s="1062"/>
      <c r="Y1115" s="1062"/>
      <c r="Z1115" s="1062"/>
      <c r="AA1115" s="1062"/>
      <c r="AB1115" s="1062"/>
      <c r="AC1115" s="1062"/>
      <c r="AD1115" s="1062"/>
      <c r="AE1115" s="1062"/>
      <c r="AF1115" s="1062"/>
      <c r="AG1115" s="1062"/>
      <c r="AH1115" s="1062"/>
      <c r="AI1115" s="1062"/>
      <c r="AJ1115" s="1062"/>
      <c r="AK1115" s="1062"/>
    </row>
    <row r="1116" spans="1:37" ht="13" hidden="1" customHeight="1">
      <c r="A1116" s="1063"/>
      <c r="B1116" s="1063"/>
      <c r="C1116" s="1197"/>
      <c r="D1116" s="1062"/>
      <c r="E1116" s="1062"/>
      <c r="F1116" s="1062"/>
      <c r="G1116" s="1062"/>
      <c r="H1116" s="1062"/>
      <c r="I1116" s="1062"/>
      <c r="J1116" s="1062"/>
      <c r="K1116" s="1062"/>
      <c r="L1116" s="1062"/>
      <c r="M1116" s="1062"/>
      <c r="N1116" s="1062"/>
      <c r="O1116" s="1062"/>
      <c r="P1116" s="1062"/>
      <c r="Q1116" s="1062"/>
      <c r="R1116" s="1062"/>
      <c r="S1116" s="1062"/>
      <c r="T1116" s="1062"/>
      <c r="U1116" s="1062"/>
      <c r="V1116" s="1062"/>
      <c r="W1116" s="1062"/>
      <c r="X1116" s="1062"/>
      <c r="Y1116" s="1062"/>
      <c r="Z1116" s="1062"/>
      <c r="AA1116" s="1062"/>
      <c r="AB1116" s="1062"/>
      <c r="AC1116" s="1062"/>
      <c r="AD1116" s="1062"/>
      <c r="AE1116" s="1062"/>
      <c r="AF1116" s="1062"/>
      <c r="AG1116" s="1062"/>
      <c r="AH1116" s="1062"/>
      <c r="AI1116" s="1062"/>
      <c r="AJ1116" s="1062"/>
      <c r="AK1116" s="1062"/>
    </row>
    <row r="1117" spans="1:37" ht="13" hidden="1" customHeight="1">
      <c r="A1117" s="1063"/>
      <c r="B1117" s="1063"/>
      <c r="C1117" s="1197"/>
      <c r="D1117" s="1062"/>
      <c r="E1117" s="1062"/>
      <c r="F1117" s="1062"/>
      <c r="G1117" s="1062"/>
      <c r="H1117" s="1062"/>
      <c r="I1117" s="1062"/>
      <c r="J1117" s="1062"/>
      <c r="K1117" s="1062"/>
      <c r="L1117" s="1062"/>
      <c r="M1117" s="1062"/>
      <c r="N1117" s="1062"/>
      <c r="O1117" s="1062"/>
      <c r="P1117" s="1062"/>
      <c r="Q1117" s="1062"/>
      <c r="R1117" s="1062"/>
      <c r="S1117" s="1062"/>
      <c r="T1117" s="1062"/>
      <c r="U1117" s="1062"/>
      <c r="V1117" s="1062"/>
      <c r="W1117" s="1062"/>
      <c r="X1117" s="1062"/>
      <c r="Y1117" s="1062"/>
      <c r="Z1117" s="1062"/>
      <c r="AA1117" s="1062"/>
      <c r="AB1117" s="1062"/>
      <c r="AC1117" s="1062"/>
      <c r="AD1117" s="1062"/>
      <c r="AE1117" s="1062"/>
      <c r="AF1117" s="1062"/>
      <c r="AG1117" s="1062"/>
      <c r="AH1117" s="1062"/>
      <c r="AI1117" s="1062"/>
      <c r="AJ1117" s="1062"/>
      <c r="AK1117" s="1062"/>
    </row>
    <row r="1118" spans="1:37" ht="13" hidden="1" customHeight="1">
      <c r="A1118" s="1063"/>
      <c r="B1118" s="1063"/>
      <c r="C1118" s="1197"/>
      <c r="D1118" s="1062"/>
      <c r="E1118" s="1062"/>
      <c r="F1118" s="1062"/>
      <c r="G1118" s="1062"/>
      <c r="H1118" s="1062"/>
      <c r="I1118" s="1062"/>
      <c r="J1118" s="1062"/>
      <c r="K1118" s="1062"/>
      <c r="L1118" s="1062"/>
      <c r="M1118" s="1062"/>
      <c r="N1118" s="1062"/>
      <c r="O1118" s="1062"/>
      <c r="P1118" s="1062"/>
      <c r="Q1118" s="1062"/>
      <c r="R1118" s="1062"/>
      <c r="S1118" s="1062"/>
      <c r="T1118" s="1062"/>
      <c r="U1118" s="1062"/>
      <c r="V1118" s="1062"/>
      <c r="W1118" s="1062"/>
      <c r="X1118" s="1062"/>
      <c r="Y1118" s="1062"/>
      <c r="Z1118" s="1062"/>
      <c r="AA1118" s="1062"/>
      <c r="AB1118" s="1062"/>
      <c r="AC1118" s="1062"/>
      <c r="AD1118" s="1062"/>
      <c r="AE1118" s="1062"/>
      <c r="AF1118" s="1062"/>
      <c r="AG1118" s="1062"/>
      <c r="AH1118" s="1062"/>
      <c r="AI1118" s="1062"/>
      <c r="AJ1118" s="1062"/>
      <c r="AK1118" s="1062"/>
    </row>
    <row r="1119" spans="1:37" ht="13" hidden="1" customHeight="1">
      <c r="A1119" s="1063"/>
      <c r="B1119" s="1063"/>
      <c r="C1119" s="1197"/>
      <c r="D1119" s="1062"/>
      <c r="E1119" s="1062"/>
      <c r="F1119" s="1062"/>
      <c r="G1119" s="1062"/>
      <c r="H1119" s="1062"/>
      <c r="I1119" s="1062"/>
      <c r="J1119" s="1062"/>
      <c r="K1119" s="1062"/>
      <c r="L1119" s="1062"/>
      <c r="M1119" s="1062"/>
      <c r="N1119" s="1062"/>
      <c r="O1119" s="1062"/>
      <c r="P1119" s="1062"/>
      <c r="Q1119" s="1062"/>
      <c r="R1119" s="1062"/>
      <c r="S1119" s="1062"/>
      <c r="T1119" s="1062"/>
      <c r="U1119" s="1062"/>
      <c r="V1119" s="1062"/>
      <c r="W1119" s="1062"/>
      <c r="X1119" s="1062"/>
      <c r="Y1119" s="1062"/>
      <c r="Z1119" s="1062"/>
      <c r="AA1119" s="1062"/>
      <c r="AB1119" s="1062"/>
      <c r="AC1119" s="1062"/>
      <c r="AD1119" s="1062"/>
      <c r="AE1119" s="1062"/>
      <c r="AF1119" s="1062"/>
      <c r="AG1119" s="1062"/>
      <c r="AH1119" s="1062"/>
      <c r="AI1119" s="1062"/>
      <c r="AJ1119" s="1062"/>
      <c r="AK1119" s="1062"/>
    </row>
    <row r="1120" spans="1:37" ht="13" hidden="1" customHeight="1">
      <c r="A1120" s="1063"/>
      <c r="B1120" s="1063"/>
      <c r="C1120" s="1197"/>
      <c r="D1120" s="1062"/>
      <c r="E1120" s="1062"/>
      <c r="F1120" s="1062"/>
      <c r="G1120" s="1062"/>
      <c r="H1120" s="1062"/>
      <c r="I1120" s="1062"/>
      <c r="J1120" s="1062"/>
      <c r="K1120" s="1062"/>
      <c r="L1120" s="1062"/>
      <c r="M1120" s="1062"/>
      <c r="N1120" s="1062"/>
      <c r="O1120" s="1062"/>
      <c r="P1120" s="1062"/>
      <c r="Q1120" s="1062"/>
      <c r="R1120" s="1062"/>
      <c r="S1120" s="1062"/>
      <c r="T1120" s="1062"/>
      <c r="U1120" s="1062"/>
      <c r="V1120" s="1062"/>
      <c r="W1120" s="1062"/>
      <c r="X1120" s="1062"/>
      <c r="Y1120" s="1062"/>
      <c r="Z1120" s="1062"/>
      <c r="AA1120" s="1062"/>
      <c r="AB1120" s="1062"/>
      <c r="AC1120" s="1062"/>
      <c r="AD1120" s="1062"/>
      <c r="AE1120" s="1062"/>
      <c r="AF1120" s="1062"/>
      <c r="AG1120" s="1062"/>
      <c r="AH1120" s="1062"/>
      <c r="AI1120" s="1062"/>
      <c r="AJ1120" s="1062"/>
      <c r="AK1120" s="1062"/>
    </row>
    <row r="1121" spans="1:37" ht="13" hidden="1" customHeight="1">
      <c r="A1121" s="1063"/>
      <c r="B1121" s="1063"/>
      <c r="C1121" s="1197"/>
      <c r="D1121" s="1062"/>
      <c r="E1121" s="1062"/>
      <c r="F1121" s="1062"/>
      <c r="G1121" s="1062"/>
      <c r="H1121" s="1062"/>
      <c r="I1121" s="1062"/>
      <c r="J1121" s="1062"/>
      <c r="K1121" s="1062"/>
      <c r="L1121" s="1062"/>
      <c r="M1121" s="1062"/>
      <c r="N1121" s="1062"/>
      <c r="O1121" s="1062"/>
      <c r="P1121" s="1062"/>
      <c r="Q1121" s="1062"/>
      <c r="R1121" s="1062"/>
      <c r="S1121" s="1062"/>
      <c r="T1121" s="1062"/>
      <c r="U1121" s="1062"/>
      <c r="V1121" s="1062"/>
      <c r="W1121" s="1062"/>
      <c r="X1121" s="1062"/>
      <c r="Y1121" s="1062"/>
      <c r="Z1121" s="1062"/>
      <c r="AA1121" s="1062"/>
      <c r="AB1121" s="1062"/>
      <c r="AC1121" s="1062"/>
      <c r="AD1121" s="1062"/>
      <c r="AE1121" s="1062"/>
      <c r="AF1121" s="1062"/>
      <c r="AG1121" s="1062"/>
      <c r="AH1121" s="1062"/>
      <c r="AI1121" s="1062"/>
      <c r="AJ1121" s="1062"/>
      <c r="AK1121" s="1062"/>
    </row>
    <row r="1122" spans="1:37" ht="13" hidden="1" customHeight="1">
      <c r="A1122" s="1063"/>
      <c r="B1122" s="1063"/>
      <c r="C1122" s="1197"/>
      <c r="D1122" s="1062"/>
      <c r="E1122" s="1062"/>
      <c r="F1122" s="1062"/>
      <c r="G1122" s="1062"/>
      <c r="H1122" s="1062"/>
      <c r="I1122" s="1062"/>
      <c r="J1122" s="1062"/>
      <c r="K1122" s="1062"/>
      <c r="L1122" s="1062"/>
      <c r="M1122" s="1062"/>
      <c r="N1122" s="1062"/>
      <c r="O1122" s="1062"/>
      <c r="P1122" s="1062"/>
      <c r="Q1122" s="1062"/>
      <c r="R1122" s="1062"/>
      <c r="S1122" s="1062"/>
      <c r="T1122" s="1062"/>
      <c r="U1122" s="1062"/>
      <c r="V1122" s="1062"/>
      <c r="W1122" s="1062"/>
      <c r="X1122" s="1062"/>
      <c r="Y1122" s="1062"/>
      <c r="Z1122" s="1062"/>
      <c r="AA1122" s="1062"/>
      <c r="AB1122" s="1062"/>
      <c r="AC1122" s="1062"/>
      <c r="AD1122" s="1062"/>
      <c r="AE1122" s="1062"/>
      <c r="AF1122" s="1062"/>
      <c r="AG1122" s="1062"/>
      <c r="AH1122" s="1062"/>
      <c r="AI1122" s="1062"/>
      <c r="AJ1122" s="1062"/>
      <c r="AK1122" s="1062"/>
    </row>
    <row r="1123" spans="1:37" ht="0" hidden="1" customHeight="1">
      <c r="A1123" s="1063"/>
      <c r="B1123" s="1063"/>
      <c r="C1123" s="1197"/>
      <c r="D1123" s="1062"/>
      <c r="E1123" s="1062"/>
      <c r="F1123" s="1062"/>
      <c r="G1123" s="1062"/>
      <c r="H1123" s="1062"/>
      <c r="I1123" s="1062"/>
      <c r="J1123" s="1062"/>
      <c r="K1123" s="1062"/>
      <c r="L1123" s="1062"/>
      <c r="M1123" s="1062"/>
      <c r="N1123" s="1062"/>
      <c r="O1123" s="1062"/>
      <c r="P1123" s="1062"/>
      <c r="Q1123" s="1062"/>
      <c r="R1123" s="1062"/>
      <c r="S1123" s="1062"/>
      <c r="T1123" s="1062"/>
      <c r="U1123" s="1062"/>
      <c r="V1123" s="1062"/>
      <c r="W1123" s="1062"/>
      <c r="X1123" s="1062"/>
      <c r="Y1123" s="1062"/>
      <c r="Z1123" s="1062"/>
      <c r="AA1123" s="1062"/>
      <c r="AB1123" s="1062"/>
      <c r="AC1123" s="1062"/>
      <c r="AD1123" s="1062"/>
      <c r="AE1123" s="1062"/>
      <c r="AF1123" s="1062"/>
      <c r="AG1123" s="1062"/>
      <c r="AH1123" s="1062"/>
      <c r="AI1123" s="1062"/>
      <c r="AJ1123" s="1062"/>
      <c r="AK1123" s="1062"/>
    </row>
    <row r="1124" spans="1:37" ht="0" hidden="1" customHeight="1">
      <c r="A1124" s="68"/>
      <c r="B1124" s="19"/>
      <c r="C1124" s="1197"/>
      <c r="D1124" s="1062"/>
      <c r="E1124" s="1062"/>
      <c r="F1124" s="1062"/>
      <c r="G1124" s="1062"/>
      <c r="H1124" s="1062"/>
      <c r="I1124" s="1062"/>
      <c r="J1124" s="1062"/>
      <c r="K1124" s="1062"/>
      <c r="L1124" s="1062"/>
      <c r="M1124" s="1062"/>
      <c r="N1124" s="1062"/>
      <c r="O1124" s="1062"/>
      <c r="P1124" s="1062"/>
      <c r="Q1124" s="1062"/>
      <c r="R1124" s="1062"/>
      <c r="S1124" s="1062"/>
      <c r="T1124" s="1062"/>
      <c r="U1124" s="1062"/>
      <c r="V1124" s="1062"/>
      <c r="W1124" s="1062"/>
      <c r="X1124" s="1062"/>
      <c r="Y1124" s="1062"/>
      <c r="Z1124" s="1062"/>
      <c r="AA1124" s="1062"/>
      <c r="AB1124" s="1062"/>
      <c r="AC1124" s="1062"/>
      <c r="AD1124" s="1062"/>
      <c r="AE1124" s="1062"/>
      <c r="AF1124" s="1062"/>
      <c r="AG1124" s="1062"/>
      <c r="AH1124" s="1062"/>
      <c r="AI1124" s="1062"/>
      <c r="AJ1124" s="1062"/>
      <c r="AK1124" s="1062"/>
    </row>
    <row r="1125" spans="1:37" ht="0" hidden="1" customHeight="1">
      <c r="A1125" s="1353" t="s">
        <v>800</v>
      </c>
      <c r="B1125" s="1353"/>
      <c r="C1125" s="1197">
        <v>9</v>
      </c>
      <c r="D1125" s="1217" t="s">
        <v>1765</v>
      </c>
      <c r="E1125" s="1217"/>
      <c r="F1125" s="1217"/>
      <c r="G1125" s="1217"/>
      <c r="H1125" s="1217"/>
      <c r="I1125" s="1217"/>
      <c r="J1125" s="1217"/>
      <c r="K1125" s="1217"/>
      <c r="L1125" s="1217"/>
      <c r="M1125" s="1217"/>
      <c r="N1125" s="1217"/>
      <c r="O1125" s="1217"/>
      <c r="P1125" s="1217"/>
      <c r="Q1125" s="1217"/>
      <c r="R1125" s="1217"/>
      <c r="S1125" s="1217"/>
      <c r="T1125" s="1217"/>
      <c r="U1125" s="1217"/>
      <c r="V1125" s="1217"/>
      <c r="W1125" s="1217"/>
      <c r="X1125" s="1217"/>
      <c r="Y1125" s="1217"/>
      <c r="Z1125" s="1217"/>
      <c r="AA1125" s="1217"/>
      <c r="AB1125" s="1217"/>
      <c r="AC1125" s="1217"/>
      <c r="AD1125" s="1217"/>
      <c r="AE1125" s="1217"/>
      <c r="AF1125" s="1217"/>
      <c r="AG1125" s="1217"/>
      <c r="AH1125" s="1217"/>
      <c r="AI1125" s="1217"/>
      <c r="AJ1125" s="1217"/>
      <c r="AK1125" s="1217"/>
    </row>
    <row r="1126" spans="1:37" ht="0" hidden="1" customHeight="1">
      <c r="A1126" s="68"/>
      <c r="B1126" s="19"/>
      <c r="C1126" s="1197"/>
      <c r="D1126" s="1217"/>
      <c r="E1126" s="1217"/>
      <c r="F1126" s="1217"/>
      <c r="G1126" s="1217"/>
      <c r="H1126" s="1217"/>
      <c r="I1126" s="1217"/>
      <c r="J1126" s="1217"/>
      <c r="K1126" s="1217"/>
      <c r="L1126" s="1217"/>
      <c r="M1126" s="1217"/>
      <c r="N1126" s="1217"/>
      <c r="O1126" s="1217"/>
      <c r="P1126" s="1217"/>
      <c r="Q1126" s="1217"/>
      <c r="R1126" s="1217"/>
      <c r="S1126" s="1217"/>
      <c r="T1126" s="1217"/>
      <c r="U1126" s="1217"/>
      <c r="V1126" s="1217"/>
      <c r="W1126" s="1217"/>
      <c r="X1126" s="1217"/>
      <c r="Y1126" s="1217"/>
      <c r="Z1126" s="1217"/>
      <c r="AA1126" s="1217"/>
      <c r="AB1126" s="1217"/>
      <c r="AC1126" s="1217"/>
      <c r="AD1126" s="1217"/>
      <c r="AE1126" s="1217"/>
      <c r="AF1126" s="1217"/>
      <c r="AG1126" s="1217"/>
      <c r="AH1126" s="1217"/>
      <c r="AI1126" s="1217"/>
      <c r="AJ1126" s="1217"/>
      <c r="AK1126" s="1217"/>
    </row>
    <row r="1127" spans="1:37" ht="0" hidden="1" customHeight="1">
      <c r="D1127" s="1217"/>
      <c r="E1127" s="1217"/>
      <c r="F1127" s="1217"/>
      <c r="G1127" s="1217"/>
      <c r="H1127" s="1217"/>
      <c r="I1127" s="1217"/>
      <c r="J1127" s="1217"/>
      <c r="K1127" s="1217"/>
      <c r="L1127" s="1217"/>
      <c r="M1127" s="1217"/>
      <c r="N1127" s="1217"/>
      <c r="O1127" s="1217"/>
      <c r="P1127" s="1217"/>
      <c r="Q1127" s="1217"/>
      <c r="R1127" s="1217"/>
      <c r="S1127" s="1217"/>
      <c r="T1127" s="1217"/>
      <c r="U1127" s="1217"/>
      <c r="V1127" s="1217"/>
      <c r="W1127" s="1217"/>
      <c r="X1127" s="1217"/>
      <c r="Y1127" s="1217"/>
      <c r="Z1127" s="1217"/>
      <c r="AA1127" s="1217"/>
      <c r="AB1127" s="1217"/>
      <c r="AC1127" s="1217"/>
      <c r="AD1127" s="1217"/>
      <c r="AE1127" s="1217"/>
      <c r="AF1127" s="1217"/>
      <c r="AG1127" s="1217"/>
      <c r="AH1127" s="1217"/>
      <c r="AI1127" s="1217"/>
      <c r="AJ1127" s="1217"/>
      <c r="AK1127" s="1217"/>
    </row>
    <row r="1137" ht="15" hidden="1" customHeight="1"/>
    <row r="2017" ht="10" hidden="1" customHeight="1"/>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O735:S735"/>
    <mergeCell ref="T738:W738"/>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AK722:AO722"/>
    <mergeCell ref="AH721:AJ721"/>
    <mergeCell ref="AK719:AO719"/>
    <mergeCell ref="CM717:CN717"/>
    <mergeCell ref="CM719:CN719"/>
    <mergeCell ref="CM721:CN721"/>
    <mergeCell ref="W703:AK703"/>
    <mergeCell ref="AC720:AG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A972:AG972"/>
    <mergeCell ref="M958:S958"/>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43:Z943"/>
    <mergeCell ref="U941:Z941"/>
    <mergeCell ref="AA943:AF943"/>
    <mergeCell ref="AC885:AH885"/>
    <mergeCell ref="W861:AC861"/>
    <mergeCell ref="C895:AB895"/>
    <mergeCell ref="F946:H946"/>
    <mergeCell ref="AA967:AG967"/>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AF630:AJ630"/>
    <mergeCell ref="Z634:AB634"/>
    <mergeCell ref="DO729:DS729"/>
    <mergeCell ref="AC721:AG721"/>
    <mergeCell ref="AC722:AG722"/>
    <mergeCell ref="AH720:AJ720"/>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T638:V638"/>
    <mergeCell ref="T628:V628"/>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J719:DN719"/>
    <mergeCell ref="CU717:CY717"/>
    <mergeCell ref="DJ720:DN720"/>
    <mergeCell ref="DJ717:DN717"/>
    <mergeCell ref="AM565:AS565"/>
    <mergeCell ref="Z632:AB632"/>
    <mergeCell ref="AE556:AH556"/>
    <mergeCell ref="AO641:AS641"/>
    <mergeCell ref="Z651:AK651"/>
    <mergeCell ref="AK638:AN638"/>
    <mergeCell ref="AF637:AJ637"/>
    <mergeCell ref="AC636:AE636"/>
    <mergeCell ref="Z647:AE647"/>
    <mergeCell ref="Z652:AK652"/>
    <mergeCell ref="Z668:AK668"/>
    <mergeCell ref="W561:Y561"/>
    <mergeCell ref="W562:Y562"/>
    <mergeCell ref="AI556:AL556"/>
    <mergeCell ref="AF628:AJ628"/>
    <mergeCell ref="AO636:AS636"/>
    <mergeCell ref="W635:Y635"/>
    <mergeCell ref="Z597:AE597"/>
    <mergeCell ref="AE561:AH561"/>
    <mergeCell ref="AG665:AH665"/>
    <mergeCell ref="AA590:AK590"/>
    <mergeCell ref="AI589:AK589"/>
    <mergeCell ref="Z596:AK596"/>
    <mergeCell ref="AM559:AS559"/>
    <mergeCell ref="AK630:AN630"/>
    <mergeCell ref="AK631:AN631"/>
    <mergeCell ref="AK632:AN632"/>
    <mergeCell ref="AK627:AN627"/>
    <mergeCell ref="AF632:AJ632"/>
    <mergeCell ref="AC631:AE631"/>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Z631:AB631"/>
    <mergeCell ref="AF624:AJ626"/>
    <mergeCell ref="DJ722:DN722"/>
    <mergeCell ref="Z687:AE687"/>
    <mergeCell ref="AH718:AJ718"/>
    <mergeCell ref="CZ718:DD718"/>
    <mergeCell ref="AE563:AH563"/>
    <mergeCell ref="AM563:AS563"/>
    <mergeCell ref="Z611:AK611"/>
    <mergeCell ref="Z676:AK676"/>
    <mergeCell ref="AC718:AG718"/>
    <mergeCell ref="AK714:AO717"/>
    <mergeCell ref="AK718:AO718"/>
    <mergeCell ref="AI671:AK671"/>
    <mergeCell ref="AO631:AS631"/>
    <mergeCell ref="AM558:AS558"/>
    <mergeCell ref="AM566:AS566"/>
    <mergeCell ref="Q632:S632"/>
    <mergeCell ref="AM562:AS562"/>
    <mergeCell ref="Q624:S626"/>
    <mergeCell ref="AF633:AJ633"/>
    <mergeCell ref="W556:Y556"/>
    <mergeCell ref="W469:Y469"/>
    <mergeCell ref="AH515:AK515"/>
    <mergeCell ref="AC516:AF516"/>
    <mergeCell ref="AH509:AK509"/>
    <mergeCell ref="G719:J719"/>
    <mergeCell ref="P589:R589"/>
    <mergeCell ref="Z588:AK588"/>
    <mergeCell ref="AM556:AS556"/>
    <mergeCell ref="G596:R596"/>
    <mergeCell ref="H614:R614"/>
    <mergeCell ref="G613:L613"/>
    <mergeCell ref="Z585:AK585"/>
    <mergeCell ref="G579:R579"/>
    <mergeCell ref="G594:R594"/>
    <mergeCell ref="Z594:AK594"/>
    <mergeCell ref="Z610:AK610"/>
    <mergeCell ref="N607:O607"/>
    <mergeCell ref="N599:O599"/>
    <mergeCell ref="AI559:AL559"/>
    <mergeCell ref="T558:V558"/>
    <mergeCell ref="H648:R648"/>
    <mergeCell ref="W633:Y633"/>
    <mergeCell ref="Z630:AB630"/>
    <mergeCell ref="N689:O689"/>
    <mergeCell ref="G678:R678"/>
    <mergeCell ref="P679:R679"/>
    <mergeCell ref="G661:R661"/>
    <mergeCell ref="Z603:AK603"/>
    <mergeCell ref="AI605:AK605"/>
    <mergeCell ref="Q630:S630"/>
    <mergeCell ref="G589:L589"/>
    <mergeCell ref="H582:R582"/>
    <mergeCell ref="Z579:AK579"/>
    <mergeCell ref="AK624:AN626"/>
    <mergeCell ref="AG599:AH599"/>
    <mergeCell ref="G595:R595"/>
    <mergeCell ref="T561:V561"/>
    <mergeCell ref="AM561:AS561"/>
    <mergeCell ref="Z683:AK683"/>
    <mergeCell ref="AC635:AE635"/>
    <mergeCell ref="AA688:AK688"/>
    <mergeCell ref="AO628:AS628"/>
    <mergeCell ref="AG607:AH607"/>
    <mergeCell ref="AO624:AS626"/>
    <mergeCell ref="AG591:AH591"/>
    <mergeCell ref="G605:L605"/>
    <mergeCell ref="G604:R604"/>
    <mergeCell ref="AF629:AJ629"/>
    <mergeCell ref="AI613:AK613"/>
    <mergeCell ref="AA614:AK614"/>
    <mergeCell ref="AC624:AE626"/>
    <mergeCell ref="T630:V630"/>
    <mergeCell ref="T631:V631"/>
    <mergeCell ref="AC628:AE628"/>
    <mergeCell ref="C629:L629"/>
    <mergeCell ref="T629:V629"/>
    <mergeCell ref="W471:Y471"/>
    <mergeCell ref="M554:P554"/>
    <mergeCell ref="W465:Y465"/>
    <mergeCell ref="Z635:AB635"/>
    <mergeCell ref="G609:R609"/>
    <mergeCell ref="N615:O615"/>
    <mergeCell ref="M628:P628"/>
    <mergeCell ref="M633:P633"/>
    <mergeCell ref="Z605:AE605"/>
    <mergeCell ref="Z609:AK609"/>
    <mergeCell ref="AC632:AE632"/>
    <mergeCell ref="AA606:AK606"/>
    <mergeCell ref="P605:R605"/>
    <mergeCell ref="C628:L628"/>
    <mergeCell ref="H590:R590"/>
    <mergeCell ref="AC503:AF503"/>
    <mergeCell ref="AC513:AF513"/>
    <mergeCell ref="AC518:AF518"/>
    <mergeCell ref="M563:P563"/>
    <mergeCell ref="AI561:AL561"/>
    <mergeCell ref="Q564:S564"/>
    <mergeCell ref="M560:P560"/>
    <mergeCell ref="Q563:S563"/>
    <mergeCell ref="AI565:AL565"/>
    <mergeCell ref="AE562:AH562"/>
    <mergeCell ref="Q562:S562"/>
    <mergeCell ref="G568:R568"/>
    <mergeCell ref="M574:R574"/>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AH501:AK501"/>
    <mergeCell ref="G474:V474"/>
    <mergeCell ref="AH526:AK526"/>
    <mergeCell ref="M561:P561"/>
    <mergeCell ref="G569:R569"/>
    <mergeCell ref="G577:R577"/>
    <mergeCell ref="Z577:AK577"/>
    <mergeCell ref="AF574:AK574"/>
    <mergeCell ref="AH504:AK504"/>
    <mergeCell ref="AH517:AK517"/>
    <mergeCell ref="AC504:AF504"/>
    <mergeCell ref="Z554:AD554"/>
    <mergeCell ref="AH505:AK505"/>
    <mergeCell ref="M562:P562"/>
    <mergeCell ref="C565:L565"/>
    <mergeCell ref="C560:L560"/>
    <mergeCell ref="AH531:AK531"/>
    <mergeCell ref="AH540:AK540"/>
    <mergeCell ref="AC515:AF515"/>
    <mergeCell ref="AC514:AF514"/>
    <mergeCell ref="AH538:AK538"/>
    <mergeCell ref="Z551:AD553"/>
    <mergeCell ref="AH513:AK513"/>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K721:CL721"/>
    <mergeCell ref="CU722:CY722"/>
    <mergeCell ref="CZ722:DD722"/>
    <mergeCell ref="CU728:CY728"/>
    <mergeCell ref="CK732:CL732"/>
    <mergeCell ref="CP732:CT732"/>
    <mergeCell ref="CM729:CN729"/>
    <mergeCell ref="CM723:CN723"/>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K723:CL723"/>
    <mergeCell ref="CM726:CN726"/>
    <mergeCell ref="CZ726:DD726"/>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H680:R680"/>
    <mergeCell ref="Q638:S638"/>
    <mergeCell ref="H672:R672"/>
    <mergeCell ref="AE695:AI695"/>
    <mergeCell ref="Z644:AK644"/>
    <mergeCell ref="G676:R676"/>
    <mergeCell ref="G646:R646"/>
    <mergeCell ref="G714:J717"/>
    <mergeCell ref="G668:R668"/>
    <mergeCell ref="W700:AK700"/>
    <mergeCell ref="F926:T926"/>
    <mergeCell ref="F927:T927"/>
    <mergeCell ref="F928:T928"/>
    <mergeCell ref="U926:Z926"/>
    <mergeCell ref="AA926:AF926"/>
    <mergeCell ref="U927:Z927"/>
    <mergeCell ref="AA927:AF927"/>
    <mergeCell ref="F929:T929"/>
    <mergeCell ref="AC887:AH887"/>
    <mergeCell ref="AE956:AK956"/>
    <mergeCell ref="P945:T945"/>
    <mergeCell ref="W866:AC866"/>
    <mergeCell ref="M877:V877"/>
    <mergeCell ref="W869:AC869"/>
    <mergeCell ref="U928:Z928"/>
    <mergeCell ref="U948:Z948"/>
    <mergeCell ref="U935:Z935"/>
    <mergeCell ref="AA923:AF923"/>
    <mergeCell ref="AB917:AE917"/>
    <mergeCell ref="AA922:AF922"/>
    <mergeCell ref="F944:T944"/>
    <mergeCell ref="U944:Z944"/>
    <mergeCell ref="W868:AC868"/>
    <mergeCell ref="W872:AC872"/>
    <mergeCell ref="AC884:AH884"/>
    <mergeCell ref="M875:V875"/>
    <mergeCell ref="W877:AC877"/>
    <mergeCell ref="W871:AC871"/>
    <mergeCell ref="AC886:AH886"/>
    <mergeCell ref="U932:Z932"/>
    <mergeCell ref="AA932:AF932"/>
    <mergeCell ref="F938:T938"/>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A928:AF928"/>
    <mergeCell ref="AA936:AF936"/>
    <mergeCell ref="F940:T940"/>
    <mergeCell ref="U939:Z939"/>
    <mergeCell ref="U940:Z940"/>
    <mergeCell ref="AA938:AF938"/>
    <mergeCell ref="U923:Z923"/>
    <mergeCell ref="BD902:BE902"/>
    <mergeCell ref="BD900:BE900"/>
    <mergeCell ref="AC893:AH893"/>
    <mergeCell ref="BD899:BE899"/>
    <mergeCell ref="BD901:BE901"/>
    <mergeCell ref="AA931:AF931"/>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W843:AC843"/>
    <mergeCell ref="Q832:T832"/>
    <mergeCell ref="AG830:AJ830"/>
    <mergeCell ref="U832:X832"/>
    <mergeCell ref="M832:P832"/>
    <mergeCell ref="W859:AC859"/>
    <mergeCell ref="W849:AC849"/>
    <mergeCell ref="W875:AC875"/>
    <mergeCell ref="T858:V858"/>
    <mergeCell ref="T860:V860"/>
    <mergeCell ref="W867:AC867"/>
    <mergeCell ref="W862:AC862"/>
    <mergeCell ref="M876:V876"/>
    <mergeCell ref="BD904:BE904"/>
    <mergeCell ref="BD906:BF906"/>
    <mergeCell ref="BD905:BF90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T729:W729"/>
    <mergeCell ref="AH728:AJ728"/>
    <mergeCell ref="J794:N794"/>
    <mergeCell ref="H598:R598"/>
    <mergeCell ref="AG583:AH583"/>
    <mergeCell ref="G588:R588"/>
    <mergeCell ref="Z580:AK580"/>
    <mergeCell ref="Z569:AK569"/>
    <mergeCell ref="C561:L561"/>
    <mergeCell ref="Q556:S556"/>
    <mergeCell ref="Z556:AD556"/>
    <mergeCell ref="T560:V560"/>
    <mergeCell ref="G570:R570"/>
    <mergeCell ref="Z561:AD561"/>
    <mergeCell ref="G586:R586"/>
    <mergeCell ref="W560:Y560"/>
    <mergeCell ref="P572:R572"/>
    <mergeCell ref="G593:R593"/>
    <mergeCell ref="N591:O591"/>
    <mergeCell ref="Q560:S560"/>
    <mergeCell ref="Q565:S565"/>
    <mergeCell ref="Q561:S561"/>
    <mergeCell ref="C562:L562"/>
    <mergeCell ref="AA582:AK582"/>
    <mergeCell ref="H573:R573"/>
    <mergeCell ref="B566:AL566"/>
    <mergeCell ref="AE560:AH560"/>
    <mergeCell ref="N575:O575"/>
    <mergeCell ref="Z578:AK578"/>
    <mergeCell ref="M559:P559"/>
    <mergeCell ref="C564:L564"/>
    <mergeCell ref="M564:P564"/>
    <mergeCell ref="Z562:AD562"/>
    <mergeCell ref="AE559:AH559"/>
    <mergeCell ref="T559:V559"/>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AI555:AL555"/>
    <mergeCell ref="T557:V557"/>
    <mergeCell ref="M358:N358"/>
    <mergeCell ref="AH519:AK519"/>
    <mergeCell ref="AH536:AK536"/>
    <mergeCell ref="AG448:AJ448"/>
    <mergeCell ref="AH528:AK528"/>
    <mergeCell ref="W554:Y554"/>
    <mergeCell ref="W555:Y555"/>
    <mergeCell ref="Z558:AD558"/>
    <mergeCell ref="Q492:AK492"/>
    <mergeCell ref="AF418:AH418"/>
    <mergeCell ref="AC528:AF528"/>
    <mergeCell ref="C554:L554"/>
    <mergeCell ref="D446:AF446"/>
    <mergeCell ref="D447:AF447"/>
    <mergeCell ref="W466:Y466"/>
    <mergeCell ref="AG446:AJ446"/>
    <mergeCell ref="W467:Y467"/>
    <mergeCell ref="W470:Y470"/>
    <mergeCell ref="D471:V471"/>
    <mergeCell ref="D473:V473"/>
    <mergeCell ref="Q551:S553"/>
    <mergeCell ref="T551:V553"/>
    <mergeCell ref="M555:P555"/>
    <mergeCell ref="Q557:S557"/>
    <mergeCell ref="Z557:AD557"/>
    <mergeCell ref="C555:L555"/>
    <mergeCell ref="C556:L556"/>
    <mergeCell ref="M556:P556"/>
    <mergeCell ref="B551:L553"/>
    <mergeCell ref="Z434:AA434"/>
    <mergeCell ref="M495:P495"/>
    <mergeCell ref="AC501:AF501"/>
    <mergeCell ref="B501:H502"/>
    <mergeCell ref="O523:AA523"/>
    <mergeCell ref="C557:L557"/>
    <mergeCell ref="D449:AF449"/>
    <mergeCell ref="Q554:S554"/>
    <mergeCell ref="AC510:AF510"/>
    <mergeCell ref="AH508:AK508"/>
    <mergeCell ref="AC508:AF508"/>
    <mergeCell ref="AH507:AK507"/>
    <mergeCell ref="AG450:AJ450"/>
    <mergeCell ref="D467:V467"/>
    <mergeCell ref="AG441:AJ441"/>
    <mergeCell ref="AC538:AF538"/>
    <mergeCell ref="AA331:AF331"/>
    <mergeCell ref="D470:V470"/>
    <mergeCell ref="D438:AF438"/>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Q389:U389"/>
    <mergeCell ref="AJ357:AK357"/>
    <mergeCell ref="D444:AF444"/>
    <mergeCell ref="AA341:AK341"/>
    <mergeCell ref="E368:AH369"/>
    <mergeCell ref="Q365:AG365"/>
    <mergeCell ref="AA314:AK314"/>
    <mergeCell ref="AA313:AK313"/>
    <mergeCell ref="H319:R319"/>
    <mergeCell ref="AA316:AF316"/>
    <mergeCell ref="AA297:AK297"/>
    <mergeCell ref="H288:R288"/>
    <mergeCell ref="AA319:AK319"/>
    <mergeCell ref="AA323:AF323"/>
    <mergeCell ref="H320:R320"/>
    <mergeCell ref="H323:M323"/>
    <mergeCell ref="AA330:AK330"/>
    <mergeCell ref="H324:M324"/>
    <mergeCell ref="AA325:AK325"/>
    <mergeCell ref="H315:M315"/>
    <mergeCell ref="H321:R321"/>
    <mergeCell ref="H322:R322"/>
    <mergeCell ref="H290:R290"/>
    <mergeCell ref="AA301:AK301"/>
    <mergeCell ref="AA296:AK296"/>
    <mergeCell ref="H301:R301"/>
    <mergeCell ref="H291:M291"/>
    <mergeCell ref="H299:M299"/>
    <mergeCell ref="H300:M300"/>
    <mergeCell ref="H312:R312"/>
    <mergeCell ref="AI307:AK307"/>
    <mergeCell ref="H304:R304"/>
    <mergeCell ref="H303:R303"/>
    <mergeCell ref="AA308:AF308"/>
    <mergeCell ref="P315:R315"/>
    <mergeCell ref="M254:AE254"/>
    <mergeCell ref="AA290:AK290"/>
    <mergeCell ref="AH262:AK262"/>
    <mergeCell ref="T267:X267"/>
    <mergeCell ref="AA291:AF291"/>
    <mergeCell ref="AI291:AK291"/>
    <mergeCell ref="H296:R296"/>
    <mergeCell ref="L276:S276"/>
    <mergeCell ref="L278:Q278"/>
    <mergeCell ref="AA289:AK289"/>
    <mergeCell ref="AH254:AK254"/>
    <mergeCell ref="M259:AE259"/>
    <mergeCell ref="AA293:AK293"/>
    <mergeCell ref="L280:AD280"/>
    <mergeCell ref="L275:AD275"/>
    <mergeCell ref="AA311:AK311"/>
    <mergeCell ref="AA306:AK306"/>
    <mergeCell ref="AA303:AK303"/>
    <mergeCell ref="X270:AC270"/>
    <mergeCell ref="Z263:AE263"/>
    <mergeCell ref="H311:R311"/>
    <mergeCell ref="M263:R263"/>
    <mergeCell ref="M265:T265"/>
    <mergeCell ref="V276:W276"/>
    <mergeCell ref="P307:R307"/>
    <mergeCell ref="H305:R305"/>
    <mergeCell ref="AA288:AK288"/>
    <mergeCell ref="H287:R287"/>
    <mergeCell ref="U255:W255"/>
    <mergeCell ref="P299:R299"/>
    <mergeCell ref="H293:R293"/>
    <mergeCell ref="M264:AE264"/>
    <mergeCell ref="N363:O363"/>
    <mergeCell ref="AA337:AK337"/>
    <mergeCell ref="H327:R327"/>
    <mergeCell ref="H306:R306"/>
    <mergeCell ref="AA304:AK304"/>
    <mergeCell ref="AA309:AK309"/>
    <mergeCell ref="AA307:AF307"/>
    <mergeCell ref="AA305:AK305"/>
    <mergeCell ref="AA317:AK317"/>
    <mergeCell ref="AA332:AF332"/>
    <mergeCell ref="AA327:AK327"/>
    <mergeCell ref="H332:M332"/>
    <mergeCell ref="AI315:AK315"/>
    <mergeCell ref="AA312:AK312"/>
    <mergeCell ref="AA329:AK329"/>
    <mergeCell ref="AA321:AK321"/>
    <mergeCell ref="H325:R325"/>
    <mergeCell ref="H307:M307"/>
    <mergeCell ref="H329:R329"/>
    <mergeCell ref="H314:R314"/>
    <mergeCell ref="H330:R330"/>
    <mergeCell ref="P331:R331"/>
    <mergeCell ref="AA324:AF324"/>
    <mergeCell ref="H328:R328"/>
    <mergeCell ref="AI323:AK323"/>
    <mergeCell ref="AA320:AK320"/>
    <mergeCell ref="H317:R317"/>
    <mergeCell ref="P323:R323"/>
    <mergeCell ref="AA315:AF315"/>
    <mergeCell ref="P339:R339"/>
    <mergeCell ref="P349:AE349"/>
    <mergeCell ref="H308:M308"/>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D270:H270"/>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O155:AH155"/>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J173:S173"/>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L277:AD277"/>
    <mergeCell ref="L274:AJ274"/>
    <mergeCell ref="H289:R289"/>
    <mergeCell ref="M256:AE256"/>
    <mergeCell ref="AA257:AK257"/>
    <mergeCell ref="M260:AE260"/>
    <mergeCell ref="AA265:AK265"/>
    <mergeCell ref="H295:R295"/>
    <mergeCell ref="M261:T261"/>
    <mergeCell ref="H298:R298"/>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I178:AK178"/>
    <mergeCell ref="AC253:AE253"/>
    <mergeCell ref="AH246:AK246"/>
    <mergeCell ref="W253:X253"/>
    <mergeCell ref="M252:AE252"/>
    <mergeCell ref="M253:T25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AG449:AJ449"/>
    <mergeCell ref="P346:AE346"/>
    <mergeCell ref="Q390:U390"/>
    <mergeCell ref="I410:AE410"/>
    <mergeCell ref="AI389:AJ389"/>
    <mergeCell ref="P347:Z347"/>
    <mergeCell ref="J386:U386"/>
    <mergeCell ref="T398:AJ398"/>
    <mergeCell ref="AG440:AJ440"/>
    <mergeCell ref="S402:U402"/>
    <mergeCell ref="AA339:AF339"/>
    <mergeCell ref="S489:AK490"/>
    <mergeCell ref="K403:AJ403"/>
    <mergeCell ref="P424:Q424"/>
    <mergeCell ref="H340:M340"/>
    <mergeCell ref="D469:V469"/>
    <mergeCell ref="W473:Y473"/>
    <mergeCell ref="Q394:U394"/>
    <mergeCell ref="AD412:AE412"/>
    <mergeCell ref="V377:W377"/>
    <mergeCell ref="S377:T377"/>
    <mergeCell ref="D437:AF437"/>
    <mergeCell ref="D442:AF442"/>
    <mergeCell ref="AF430:AG430"/>
    <mergeCell ref="AG437:AJ437"/>
    <mergeCell ref="J388:U388"/>
    <mergeCell ref="AJ356:AK356"/>
    <mergeCell ref="AD377:AE377"/>
    <mergeCell ref="AC371:AF371"/>
    <mergeCell ref="AG443:AJ443"/>
    <mergeCell ref="P345:AE345"/>
    <mergeCell ref="R412:S412"/>
    <mergeCell ref="Q429:R429"/>
    <mergeCell ref="D448:AF448"/>
    <mergeCell ref="AG445:AJ445"/>
    <mergeCell ref="AC370:AF370"/>
    <mergeCell ref="AE402:AJ402"/>
    <mergeCell ref="AC385:AJ385"/>
    <mergeCell ref="H414:AE415"/>
    <mergeCell ref="AE425:AF425"/>
    <mergeCell ref="I421:K421"/>
    <mergeCell ref="P418:R418"/>
    <mergeCell ref="R411:S411"/>
    <mergeCell ref="AG438:AJ438"/>
    <mergeCell ref="Y364:Z364"/>
    <mergeCell ref="N378:P378"/>
    <mergeCell ref="W418:Y418"/>
    <mergeCell ref="AG439:AJ439"/>
    <mergeCell ref="AE424:AF424"/>
    <mergeCell ref="N371:Q371"/>
    <mergeCell ref="V382:W382"/>
    <mergeCell ref="G660:R660"/>
    <mergeCell ref="T634:V634"/>
    <mergeCell ref="AF634:AJ634"/>
    <mergeCell ref="W637:Y637"/>
    <mergeCell ref="AG657:AH657"/>
    <mergeCell ref="X718:AB718"/>
    <mergeCell ref="T720:W720"/>
    <mergeCell ref="K714:N717"/>
    <mergeCell ref="C635:L635"/>
    <mergeCell ref="AF636:AJ636"/>
    <mergeCell ref="P687:R687"/>
    <mergeCell ref="R705:T705"/>
    <mergeCell ref="M635:P635"/>
    <mergeCell ref="AO640:AS640"/>
    <mergeCell ref="S401:U401"/>
    <mergeCell ref="AG401:AJ401"/>
    <mergeCell ref="AC387:AJ387"/>
    <mergeCell ref="V388:AJ388"/>
    <mergeCell ref="D443:AF443"/>
    <mergeCell ref="AG395:AJ395"/>
    <mergeCell ref="AI392:AJ392"/>
    <mergeCell ref="AG394:AJ394"/>
    <mergeCell ref="E420:AJ420"/>
    <mergeCell ref="C558:L558"/>
    <mergeCell ref="AC507:AF507"/>
    <mergeCell ref="T556:V556"/>
    <mergeCell ref="AC520:AF520"/>
    <mergeCell ref="AC527:AF527"/>
    <mergeCell ref="W551:Y553"/>
    <mergeCell ref="AH521:AK521"/>
    <mergeCell ref="AC530:AF530"/>
    <mergeCell ref="Z555:AD555"/>
    <mergeCell ref="CM725:CN725"/>
    <mergeCell ref="CK730:CL730"/>
    <mergeCell ref="CP731:CT731"/>
    <mergeCell ref="CI729:CJ729"/>
    <mergeCell ref="CP729:CT729"/>
    <mergeCell ref="CU718:CY718"/>
    <mergeCell ref="P663:R663"/>
    <mergeCell ref="X728:AB728"/>
    <mergeCell ref="O719:S719"/>
    <mergeCell ref="G685:R685"/>
    <mergeCell ref="CU726:CY726"/>
    <mergeCell ref="CK722:CL722"/>
    <mergeCell ref="AG689:AH689"/>
    <mergeCell ref="CK719:CL719"/>
    <mergeCell ref="X722:AB722"/>
    <mergeCell ref="Z685:AK685"/>
    <mergeCell ref="AE698:AI698"/>
    <mergeCell ref="AC714:AG717"/>
    <mergeCell ref="X714:AB717"/>
    <mergeCell ref="AE694:AF694"/>
    <mergeCell ref="A709:AT711"/>
    <mergeCell ref="O730:S730"/>
    <mergeCell ref="B720:F720"/>
    <mergeCell ref="B722:F722"/>
    <mergeCell ref="AG673:AH673"/>
    <mergeCell ref="B728:F728"/>
    <mergeCell ref="B725:F725"/>
    <mergeCell ref="B724:F724"/>
    <mergeCell ref="B727:F727"/>
    <mergeCell ref="B723:F723"/>
    <mergeCell ref="Z678:AK678"/>
    <mergeCell ref="T721:W721"/>
    <mergeCell ref="CK748:CL748"/>
    <mergeCell ref="CM748:CN748"/>
    <mergeCell ref="CG749:CH749"/>
    <mergeCell ref="CG724:CH724"/>
    <mergeCell ref="CG730:CH730"/>
    <mergeCell ref="CG728:CH728"/>
    <mergeCell ref="X724:AB724"/>
    <mergeCell ref="CK752:CL752"/>
    <mergeCell ref="CP747:CT747"/>
    <mergeCell ref="CG748:CH748"/>
    <mergeCell ref="H606:R606"/>
    <mergeCell ref="W636:Y636"/>
    <mergeCell ref="CP717:CT717"/>
    <mergeCell ref="CI717:CJ717"/>
    <mergeCell ref="AA680:AK680"/>
    <mergeCell ref="C630:L630"/>
    <mergeCell ref="C631:L631"/>
    <mergeCell ref="C632:L632"/>
    <mergeCell ref="Z628:AB628"/>
    <mergeCell ref="C627:L627"/>
    <mergeCell ref="M627:P627"/>
    <mergeCell ref="M629:P629"/>
    <mergeCell ref="W624:Y626"/>
    <mergeCell ref="W628:Y628"/>
    <mergeCell ref="T742:W742"/>
    <mergeCell ref="X745:AB745"/>
    <mergeCell ref="X746:AB746"/>
    <mergeCell ref="CM718:CN718"/>
    <mergeCell ref="CI732:CJ732"/>
    <mergeCell ref="CM728:CN728"/>
    <mergeCell ref="CP728:CT728"/>
    <mergeCell ref="AC637:AE637"/>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I724:CJ724"/>
    <mergeCell ref="AI597:AK597"/>
    <mergeCell ref="W558:Y558"/>
    <mergeCell ref="AE558:AH558"/>
    <mergeCell ref="Z570:AK570"/>
    <mergeCell ref="T565:V565"/>
    <mergeCell ref="Z560:AD560"/>
    <mergeCell ref="AI563:AL563"/>
    <mergeCell ref="AH529:AK529"/>
    <mergeCell ref="AH534:AK534"/>
    <mergeCell ref="T562:V562"/>
    <mergeCell ref="T554:V554"/>
    <mergeCell ref="AC540:AF540"/>
    <mergeCell ref="AH537:AK537"/>
    <mergeCell ref="AC534:AF534"/>
    <mergeCell ref="AH542:AK54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AC531:AF531"/>
    <mergeCell ref="AC539:AF539"/>
    <mergeCell ref="L508:AB508"/>
    <mergeCell ref="AH510:AK510"/>
    <mergeCell ref="AG444:AJ444"/>
    <mergeCell ref="D440:AF440"/>
    <mergeCell ref="AH503:AK503"/>
    <mergeCell ref="AC500:AF500"/>
    <mergeCell ref="AH532:AK532"/>
    <mergeCell ref="AC522:AF522"/>
    <mergeCell ref="AC524:AF524"/>
    <mergeCell ref="AH506:AK506"/>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Z563:AD563"/>
    <mergeCell ref="M558:P558"/>
    <mergeCell ref="G571:R571"/>
    <mergeCell ref="Q559:S559"/>
    <mergeCell ref="P581:R581"/>
    <mergeCell ref="O532:AA532"/>
    <mergeCell ref="AC521:AF521"/>
    <mergeCell ref="AH527:AK527"/>
    <mergeCell ref="AC517:AF517"/>
    <mergeCell ref="O535:AA535"/>
    <mergeCell ref="AH523:AK523"/>
    <mergeCell ref="AE554:AH554"/>
    <mergeCell ref="AH524:AK524"/>
    <mergeCell ref="AH525:AK525"/>
    <mergeCell ref="C559:L559"/>
    <mergeCell ref="Z559:AD559"/>
    <mergeCell ref="AC541:AF541"/>
    <mergeCell ref="W557:Y557"/>
    <mergeCell ref="AC526:AF526"/>
    <mergeCell ref="AE557:AH557"/>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Width="0"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workbookViewId="0">
      <selection activeCell="M90" sqref="M90"/>
    </sheetView>
  </sheetViews>
  <sheetFormatPr defaultColWidth="0" defaultRowHeight="11.5" zeroHeight="1"/>
  <cols>
    <col min="1" max="1" width="35.7265625" style="106" customWidth="1"/>
    <col min="2" max="12" width="12.1796875" style="91" customWidth="1"/>
    <col min="13" max="17" width="11.26953125" style="91" customWidth="1"/>
    <col min="18" max="18" width="12.7265625" style="91" customWidth="1"/>
    <col min="19" max="20" width="12.1796875" style="91" customWidth="1"/>
    <col min="21" max="21" width="0.26953125" style="93" customWidth="1"/>
    <col min="22" max="16383" width="8.81640625" style="91" hidden="1"/>
    <col min="16384" max="16384" width="0.1796875" style="91" customWidth="1"/>
  </cols>
  <sheetData>
    <row r="1" spans="1:21" s="62" customFormat="1" ht="13.5">
      <c r="A1" s="96" t="s">
        <v>1766</v>
      </c>
      <c r="B1" s="73"/>
      <c r="C1" s="73"/>
      <c r="D1" s="73"/>
      <c r="E1" s="74"/>
      <c r="F1" s="1794" t="s">
        <v>1767</v>
      </c>
      <c r="G1" s="1795"/>
      <c r="H1" s="1795"/>
      <c r="I1" s="1795"/>
      <c r="J1" s="1795"/>
      <c r="K1" s="1795"/>
      <c r="L1" s="1795"/>
      <c r="M1" s="1795"/>
      <c r="N1" s="1795"/>
      <c r="O1" s="1795"/>
      <c r="P1" s="1795"/>
      <c r="Q1" s="1795"/>
      <c r="R1" s="1796"/>
      <c r="S1" s="64"/>
      <c r="T1" s="63"/>
      <c r="U1" s="65"/>
    </row>
    <row r="2" spans="1:21" s="80" customFormat="1" ht="71.25" customHeight="1">
      <c r="A2" s="79"/>
      <c r="B2" s="80" t="s">
        <v>1768</v>
      </c>
      <c r="C2" s="80" t="s">
        <v>1769</v>
      </c>
      <c r="D2" s="80" t="s">
        <v>1770</v>
      </c>
      <c r="E2" s="80" t="s">
        <v>1771</v>
      </c>
      <c r="F2" s="81" t="str">
        <f>Application!B627&amp;Application!C627</f>
        <v>1)US Bank Perm Loan</v>
      </c>
      <c r="G2" s="81" t="str">
        <f>Application!B628&amp;Application!C628</f>
        <v>2)Sponsor Loan - Tulare County REAP</v>
      </c>
      <c r="H2" s="81" t="str">
        <f>Application!B629&amp;Application!C629</f>
        <v>3)Accrued Interest - Sponsor Loan - Tulare County REAP</v>
      </c>
      <c r="I2" s="81" t="str">
        <f>Application!B630&amp;Application!C630</f>
        <v>4)HCD - NHTF</v>
      </c>
      <c r="J2" s="81" t="str">
        <f>Application!B631&amp;Application!C631</f>
        <v>5)Sponsor Loan - Homekey+</v>
      </c>
      <c r="K2" s="81" t="str">
        <f>Application!B632&amp;Application!C632</f>
        <v>6)Sponsor Loan - AHP</v>
      </c>
      <c r="L2" s="81" t="str">
        <f>Application!B633&amp;Application!C633</f>
        <v>7)Deferred Developer Fee</v>
      </c>
      <c r="M2" s="81" t="str">
        <f>Application!B634&amp;Application!C634</f>
        <v>8)Solar PV Equity</v>
      </c>
      <c r="N2" s="81" t="str">
        <f>Application!B635&amp;Application!C635</f>
        <v>9)Donated Land</v>
      </c>
      <c r="O2" s="81" t="str">
        <f>Application!B636&amp;Application!C636</f>
        <v>10)</v>
      </c>
      <c r="P2" s="81" t="str">
        <f>Application!B637&amp;Application!C637</f>
        <v>11)</v>
      </c>
      <c r="Q2" s="81" t="str">
        <f>Application!B638&amp;Application!C638</f>
        <v>12)</v>
      </c>
      <c r="R2" s="81" t="s">
        <v>1772</v>
      </c>
      <c r="S2" s="80" t="s">
        <v>1773</v>
      </c>
      <c r="T2" s="80" t="s">
        <v>1774</v>
      </c>
      <c r="U2" s="82"/>
    </row>
    <row r="3" spans="1:21" s="84" customFormat="1" ht="12">
      <c r="A3" s="83" t="s">
        <v>1775</v>
      </c>
      <c r="B3" s="1198"/>
      <c r="C3" s="1198"/>
      <c r="D3" s="1198"/>
      <c r="E3" s="1198"/>
      <c r="F3" s="1198"/>
      <c r="G3" s="1198"/>
      <c r="H3" s="1198"/>
      <c r="I3" s="1198"/>
      <c r="J3" s="1198"/>
      <c r="K3" s="1198"/>
      <c r="L3" s="1198"/>
      <c r="M3" s="1198"/>
      <c r="N3" s="1198"/>
      <c r="O3" s="1198"/>
      <c r="P3" s="1198"/>
      <c r="Q3" s="1198"/>
      <c r="R3" s="1198"/>
      <c r="S3" s="1198"/>
      <c r="T3" s="1198"/>
      <c r="U3" s="1199"/>
    </row>
    <row r="4" spans="1:21" s="84" customFormat="1">
      <c r="A4" s="170" t="s">
        <v>1776</v>
      </c>
      <c r="B4" s="216">
        <f>SUM(C4+D4)</f>
        <v>975794</v>
      </c>
      <c r="C4" s="776">
        <v>975794</v>
      </c>
      <c r="D4" s="776"/>
      <c r="E4" s="776">
        <v>1</v>
      </c>
      <c r="F4" s="776"/>
      <c r="G4" s="776"/>
      <c r="H4" s="776"/>
      <c r="I4" s="776"/>
      <c r="J4" s="776"/>
      <c r="K4" s="776"/>
      <c r="L4" s="776"/>
      <c r="M4" s="776"/>
      <c r="N4" s="776">
        <v>975793</v>
      </c>
      <c r="O4" s="776"/>
      <c r="P4" s="776"/>
      <c r="Q4" s="776"/>
      <c r="R4" s="367">
        <f>SUM(E4:Q4)</f>
        <v>975794</v>
      </c>
      <c r="S4" s="1200"/>
      <c r="T4" s="1200"/>
      <c r="U4" s="1199"/>
    </row>
    <row r="5" spans="1:21" s="84" customFormat="1">
      <c r="A5" s="170" t="s">
        <v>691</v>
      </c>
      <c r="B5" s="216">
        <f>SUM(C5+D5)</f>
        <v>0</v>
      </c>
      <c r="C5" s="776"/>
      <c r="D5" s="776"/>
      <c r="E5" s="776"/>
      <c r="F5" s="776"/>
      <c r="G5" s="776"/>
      <c r="H5" s="776"/>
      <c r="I5" s="776"/>
      <c r="J5" s="776"/>
      <c r="K5" s="776"/>
      <c r="L5" s="776"/>
      <c r="M5" s="776"/>
      <c r="N5" s="776"/>
      <c r="O5" s="776"/>
      <c r="P5" s="776"/>
      <c r="Q5" s="776"/>
      <c r="R5" s="367">
        <f>SUM(E5:Q5)</f>
        <v>0</v>
      </c>
      <c r="S5" s="1200"/>
      <c r="T5" s="1200"/>
      <c r="U5" s="1199"/>
    </row>
    <row r="6" spans="1:21" s="84" customFormat="1">
      <c r="A6" s="170" t="s">
        <v>1777</v>
      </c>
      <c r="B6" s="216">
        <f>SUM(C6+D6)</f>
        <v>49999</v>
      </c>
      <c r="C6" s="776">
        <v>49999</v>
      </c>
      <c r="D6" s="776"/>
      <c r="E6" s="776">
        <f>+C6</f>
        <v>49999</v>
      </c>
      <c r="F6" s="776"/>
      <c r="G6" s="776"/>
      <c r="H6" s="776"/>
      <c r="I6" s="776"/>
      <c r="J6" s="776"/>
      <c r="K6" s="776"/>
      <c r="L6" s="776"/>
      <c r="M6" s="776"/>
      <c r="N6" s="776"/>
      <c r="O6" s="776"/>
      <c r="P6" s="776"/>
      <c r="Q6" s="776"/>
      <c r="R6" s="367">
        <f>SUM(E6:Q6)</f>
        <v>49999</v>
      </c>
      <c r="S6" s="1200"/>
      <c r="T6" s="1200"/>
      <c r="U6" s="1199"/>
    </row>
    <row r="7" spans="1:21" s="84" customFormat="1">
      <c r="A7" s="170" t="s">
        <v>1778</v>
      </c>
      <c r="B7" s="216">
        <f>SUM(C7+D7)</f>
        <v>0</v>
      </c>
      <c r="C7" s="776"/>
      <c r="D7" s="776"/>
      <c r="E7" s="776"/>
      <c r="F7" s="776"/>
      <c r="G7" s="776"/>
      <c r="H7" s="776"/>
      <c r="I7" s="776"/>
      <c r="J7" s="776"/>
      <c r="K7" s="776"/>
      <c r="L7" s="776"/>
      <c r="M7" s="776"/>
      <c r="N7" s="776"/>
      <c r="O7" s="776"/>
      <c r="P7" s="776"/>
      <c r="Q7" s="776"/>
      <c r="R7" s="367">
        <f>SUM(E7:Q7)</f>
        <v>0</v>
      </c>
      <c r="S7" s="1200"/>
      <c r="T7" s="1200"/>
      <c r="U7" s="1199"/>
    </row>
    <row r="8" spans="1:21" s="84" customFormat="1">
      <c r="A8" s="85" t="s">
        <v>1779</v>
      </c>
      <c r="B8" s="216">
        <f>SUM(C8:D8)</f>
        <v>1025793</v>
      </c>
      <c r="C8" s="216">
        <f t="shared" ref="C8:Q8" si="0">SUM(C4:C7)</f>
        <v>1025793</v>
      </c>
      <c r="D8" s="216">
        <f t="shared" si="0"/>
        <v>0</v>
      </c>
      <c r="E8" s="216">
        <f t="shared" si="0"/>
        <v>50000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975793</v>
      </c>
      <c r="O8" s="216">
        <f t="shared" si="0"/>
        <v>0</v>
      </c>
      <c r="P8" s="216"/>
      <c r="Q8" s="216">
        <f t="shared" si="0"/>
        <v>0</v>
      </c>
      <c r="R8" s="216">
        <f>SUM(R4:R7)</f>
        <v>1025793</v>
      </c>
      <c r="S8" s="1200"/>
      <c r="T8" s="1200"/>
      <c r="U8" s="1199"/>
    </row>
    <row r="9" spans="1:21" s="84" customFormat="1">
      <c r="A9" s="170" t="s">
        <v>1780</v>
      </c>
      <c r="B9" s="216">
        <f>SUM(C9+D9)</f>
        <v>0</v>
      </c>
      <c r="C9" s="776"/>
      <c r="D9" s="776"/>
      <c r="E9" s="776"/>
      <c r="F9" s="776"/>
      <c r="G9" s="776"/>
      <c r="H9" s="776"/>
      <c r="I9" s="776"/>
      <c r="J9" s="776"/>
      <c r="K9" s="776"/>
      <c r="L9" s="776"/>
      <c r="M9" s="776"/>
      <c r="N9" s="776"/>
      <c r="O9" s="776"/>
      <c r="P9" s="776"/>
      <c r="Q9" s="776"/>
      <c r="R9" s="367">
        <f>SUM(E9:Q9)</f>
        <v>0</v>
      </c>
      <c r="S9" s="1200"/>
      <c r="T9" s="776"/>
      <c r="U9" s="1199"/>
    </row>
    <row r="10" spans="1:21" s="84" customFormat="1">
      <c r="A10" s="170" t="s">
        <v>1781</v>
      </c>
      <c r="B10" s="216">
        <f>SUM(C10+D10)</f>
        <v>850000</v>
      </c>
      <c r="C10" s="776">
        <v>850000</v>
      </c>
      <c r="D10" s="776"/>
      <c r="E10" s="776">
        <f>+C10</f>
        <v>850000</v>
      </c>
      <c r="F10" s="776"/>
      <c r="G10" s="776"/>
      <c r="H10" s="776"/>
      <c r="I10" s="776"/>
      <c r="J10" s="776"/>
      <c r="K10" s="776"/>
      <c r="L10" s="776"/>
      <c r="M10" s="776"/>
      <c r="N10" s="776"/>
      <c r="O10" s="776"/>
      <c r="P10" s="776"/>
      <c r="Q10" s="776"/>
      <c r="R10" s="367">
        <f>SUM(E10:Q10)</f>
        <v>850000</v>
      </c>
      <c r="S10" s="776">
        <f>+C10</f>
        <v>850000</v>
      </c>
      <c r="T10" s="776"/>
      <c r="U10" s="1199"/>
    </row>
    <row r="11" spans="1:21" s="84" customFormat="1">
      <c r="A11" s="85" t="s">
        <v>1782</v>
      </c>
      <c r="B11" s="216">
        <f>SUM(C11:D11)</f>
        <v>850000</v>
      </c>
      <c r="C11" s="216">
        <f t="shared" ref="C11:Q11" si="1">SUM(C9:C10)</f>
        <v>850000</v>
      </c>
      <c r="D11" s="216">
        <f t="shared" si="1"/>
        <v>0</v>
      </c>
      <c r="E11" s="216">
        <f t="shared" si="1"/>
        <v>850000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850000</v>
      </c>
      <c r="S11" s="1200"/>
      <c r="T11" s="86">
        <f>SUM(T9:T10)</f>
        <v>0</v>
      </c>
      <c r="U11" s="1199"/>
    </row>
    <row r="12" spans="1:21" s="84" customFormat="1">
      <c r="A12" s="85" t="s">
        <v>1783</v>
      </c>
      <c r="B12" s="216">
        <f t="shared" ref="B12:Q12" si="2">SUM(B8+B11)</f>
        <v>1875793</v>
      </c>
      <c r="C12" s="216">
        <f t="shared" si="2"/>
        <v>1875793</v>
      </c>
      <c r="D12" s="216">
        <f t="shared" si="2"/>
        <v>0</v>
      </c>
      <c r="E12" s="216">
        <f t="shared" si="2"/>
        <v>900000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975793</v>
      </c>
      <c r="O12" s="216">
        <f t="shared" si="2"/>
        <v>0</v>
      </c>
      <c r="P12" s="216"/>
      <c r="Q12" s="216">
        <f t="shared" si="2"/>
        <v>0</v>
      </c>
      <c r="R12" s="216">
        <f>SUM(R8+R11)</f>
        <v>1875793</v>
      </c>
      <c r="S12" s="1200"/>
      <c r="T12" s="1200"/>
      <c r="U12" s="1199"/>
    </row>
    <row r="13" spans="1:21" s="84" customFormat="1">
      <c r="A13" s="172" t="s">
        <v>1784</v>
      </c>
      <c r="B13" s="216">
        <f>SUM(C13+D13)</f>
        <v>0</v>
      </c>
      <c r="C13" s="776"/>
      <c r="D13" s="776"/>
      <c r="E13" s="776"/>
      <c r="F13" s="776"/>
      <c r="G13" s="776"/>
      <c r="H13" s="776"/>
      <c r="I13" s="776"/>
      <c r="J13" s="776"/>
      <c r="K13" s="776"/>
      <c r="L13" s="776"/>
      <c r="M13" s="776"/>
      <c r="N13" s="776"/>
      <c r="O13" s="776"/>
      <c r="P13" s="776"/>
      <c r="Q13" s="776"/>
      <c r="R13" s="367">
        <f>SUM(E13:Q13)</f>
        <v>0</v>
      </c>
      <c r="S13" s="776"/>
      <c r="T13" s="776"/>
      <c r="U13" s="1199"/>
    </row>
    <row r="14" spans="1:21" s="84" customFormat="1" ht="23">
      <c r="A14" s="173" t="s">
        <v>1785</v>
      </c>
      <c r="B14" s="216">
        <f>SUM(C14+D14)</f>
        <v>0</v>
      </c>
      <c r="C14" s="776"/>
      <c r="D14" s="776"/>
      <c r="E14" s="776"/>
      <c r="F14" s="776"/>
      <c r="G14" s="776"/>
      <c r="H14" s="776"/>
      <c r="I14" s="776"/>
      <c r="J14" s="776"/>
      <c r="K14" s="776"/>
      <c r="L14" s="776"/>
      <c r="M14" s="776"/>
      <c r="N14" s="776"/>
      <c r="O14" s="776"/>
      <c r="P14" s="776"/>
      <c r="Q14" s="776"/>
      <c r="R14" s="367">
        <f>SUM(E14:Q14)</f>
        <v>0</v>
      </c>
      <c r="S14" s="776"/>
      <c r="T14" s="776"/>
      <c r="U14" s="1199"/>
    </row>
    <row r="15" spans="1:21" s="84" customFormat="1">
      <c r="A15" s="173" t="s">
        <v>1786</v>
      </c>
      <c r="B15" s="216">
        <f>SUM(C15+D15)</f>
        <v>0</v>
      </c>
      <c r="C15" s="776"/>
      <c r="D15" s="776"/>
      <c r="E15" s="776"/>
      <c r="F15" s="776"/>
      <c r="G15" s="776"/>
      <c r="H15" s="776"/>
      <c r="I15" s="776"/>
      <c r="J15" s="776"/>
      <c r="K15" s="776"/>
      <c r="L15" s="776"/>
      <c r="M15" s="776"/>
      <c r="N15" s="776"/>
      <c r="O15" s="776"/>
      <c r="P15" s="776"/>
      <c r="Q15" s="776"/>
      <c r="R15" s="367">
        <f>SUM(E15:Q15)</f>
        <v>0</v>
      </c>
      <c r="S15" s="1200"/>
      <c r="T15" s="1200"/>
      <c r="U15" s="1199"/>
    </row>
    <row r="16" spans="1:21" s="84" customFormat="1" ht="12">
      <c r="A16" s="83" t="s">
        <v>1787</v>
      </c>
      <c r="B16" s="1198"/>
      <c r="C16" s="1198"/>
      <c r="D16" s="1198"/>
      <c r="E16" s="217"/>
      <c r="F16" s="217"/>
      <c r="G16" s="217"/>
      <c r="H16" s="217"/>
      <c r="I16" s="217"/>
      <c r="J16" s="217"/>
      <c r="K16" s="217"/>
      <c r="L16" s="217"/>
      <c r="M16" s="217"/>
      <c r="N16" s="217"/>
      <c r="O16" s="217"/>
      <c r="P16" s="217"/>
      <c r="Q16" s="217"/>
      <c r="R16" s="217"/>
      <c r="S16" s="1198"/>
      <c r="T16" s="1198"/>
      <c r="U16" s="1199"/>
    </row>
    <row r="17" spans="1:21" s="84" customFormat="1">
      <c r="A17" s="170" t="s">
        <v>1788</v>
      </c>
      <c r="B17" s="216">
        <f t="shared" ref="B17:B26" si="3">SUM(C17+D17)</f>
        <v>0</v>
      </c>
      <c r="C17" s="776"/>
      <c r="D17" s="776"/>
      <c r="E17" s="776"/>
      <c r="F17" s="776"/>
      <c r="G17" s="776"/>
      <c r="H17" s="776"/>
      <c r="I17" s="776"/>
      <c r="J17" s="776"/>
      <c r="K17" s="776"/>
      <c r="L17" s="776"/>
      <c r="M17" s="776"/>
      <c r="N17" s="776"/>
      <c r="O17" s="776"/>
      <c r="P17" s="776"/>
      <c r="Q17" s="776"/>
      <c r="R17" s="367">
        <f>SUM(E17:Q17)</f>
        <v>0</v>
      </c>
      <c r="S17" s="776"/>
      <c r="T17" s="776"/>
      <c r="U17" s="1199"/>
    </row>
    <row r="18" spans="1:21" s="84" customFormat="1">
      <c r="A18" s="170" t="s">
        <v>1789</v>
      </c>
      <c r="B18" s="216">
        <f t="shared" si="3"/>
        <v>0</v>
      </c>
      <c r="C18" s="776"/>
      <c r="D18" s="776"/>
      <c r="E18" s="776"/>
      <c r="F18" s="776"/>
      <c r="G18" s="776"/>
      <c r="H18" s="776"/>
      <c r="I18" s="776"/>
      <c r="J18" s="776"/>
      <c r="K18" s="776"/>
      <c r="L18" s="776"/>
      <c r="M18" s="776"/>
      <c r="N18" s="776"/>
      <c r="O18" s="776"/>
      <c r="P18" s="776"/>
      <c r="Q18" s="776"/>
      <c r="R18" s="367">
        <f>SUM(E18:Q18)</f>
        <v>0</v>
      </c>
      <c r="S18" s="776"/>
      <c r="T18" s="776"/>
      <c r="U18" s="1199"/>
    </row>
    <row r="19" spans="1:21" s="84" customFormat="1">
      <c r="A19" s="170" t="s">
        <v>1790</v>
      </c>
      <c r="B19" s="216">
        <f t="shared" si="3"/>
        <v>0</v>
      </c>
      <c r="C19" s="776"/>
      <c r="D19" s="776"/>
      <c r="E19" s="776"/>
      <c r="F19" s="776"/>
      <c r="G19" s="776"/>
      <c r="H19" s="776"/>
      <c r="I19" s="776"/>
      <c r="J19" s="776"/>
      <c r="K19" s="776"/>
      <c r="L19" s="776"/>
      <c r="M19" s="776"/>
      <c r="N19" s="776"/>
      <c r="O19" s="776"/>
      <c r="P19" s="776"/>
      <c r="Q19" s="776"/>
      <c r="R19" s="367">
        <f>SUM(E19:Q19)</f>
        <v>0</v>
      </c>
      <c r="S19" s="776"/>
      <c r="T19" s="776"/>
      <c r="U19" s="1199"/>
    </row>
    <row r="20" spans="1:21" s="84" customFormat="1">
      <c r="A20" s="170" t="s">
        <v>1791</v>
      </c>
      <c r="B20" s="216">
        <f t="shared" si="3"/>
        <v>0</v>
      </c>
      <c r="C20" s="776"/>
      <c r="D20" s="776"/>
      <c r="E20" s="776"/>
      <c r="F20" s="776"/>
      <c r="G20" s="776"/>
      <c r="H20" s="776"/>
      <c r="I20" s="776"/>
      <c r="J20" s="776"/>
      <c r="K20" s="776"/>
      <c r="L20" s="776"/>
      <c r="M20" s="776"/>
      <c r="N20" s="776"/>
      <c r="O20" s="776"/>
      <c r="P20" s="776"/>
      <c r="Q20" s="776"/>
      <c r="R20" s="367">
        <f t="shared" ref="R20:R27" si="4">SUM(E20:Q20)</f>
        <v>0</v>
      </c>
      <c r="S20" s="776"/>
      <c r="T20" s="776"/>
      <c r="U20" s="1199"/>
    </row>
    <row r="21" spans="1:21" s="84" customFormat="1">
      <c r="A21" s="170" t="s">
        <v>1792</v>
      </c>
      <c r="B21" s="216">
        <f t="shared" si="3"/>
        <v>0</v>
      </c>
      <c r="C21" s="776"/>
      <c r="D21" s="776"/>
      <c r="E21" s="776"/>
      <c r="F21" s="776"/>
      <c r="G21" s="776"/>
      <c r="H21" s="776"/>
      <c r="I21" s="776"/>
      <c r="J21" s="776"/>
      <c r="K21" s="776"/>
      <c r="L21" s="776"/>
      <c r="M21" s="776"/>
      <c r="N21" s="776"/>
      <c r="O21" s="776"/>
      <c r="P21" s="776"/>
      <c r="Q21" s="776"/>
      <c r="R21" s="367">
        <f t="shared" si="4"/>
        <v>0</v>
      </c>
      <c r="S21" s="776"/>
      <c r="T21" s="776"/>
      <c r="U21" s="1199"/>
    </row>
    <row r="22" spans="1:21" s="84" customFormat="1">
      <c r="A22" s="170" t="s">
        <v>1793</v>
      </c>
      <c r="B22" s="216">
        <f t="shared" si="3"/>
        <v>0</v>
      </c>
      <c r="C22" s="776"/>
      <c r="D22" s="776"/>
      <c r="E22" s="776"/>
      <c r="F22" s="776"/>
      <c r="G22" s="776"/>
      <c r="H22" s="776"/>
      <c r="I22" s="776"/>
      <c r="J22" s="776"/>
      <c r="K22" s="776"/>
      <c r="L22" s="776"/>
      <c r="M22" s="776"/>
      <c r="N22" s="776"/>
      <c r="O22" s="776"/>
      <c r="P22" s="776"/>
      <c r="Q22" s="776"/>
      <c r="R22" s="367">
        <f t="shared" si="4"/>
        <v>0</v>
      </c>
      <c r="S22" s="776"/>
      <c r="T22" s="776"/>
      <c r="U22" s="1199"/>
    </row>
    <row r="23" spans="1:21" s="84" customFormat="1">
      <c r="A23" s="170" t="s">
        <v>1794</v>
      </c>
      <c r="B23" s="216">
        <f t="shared" si="3"/>
        <v>0</v>
      </c>
      <c r="C23" s="776"/>
      <c r="D23" s="776"/>
      <c r="E23" s="776"/>
      <c r="F23" s="776"/>
      <c r="G23" s="776"/>
      <c r="H23" s="776"/>
      <c r="I23" s="776"/>
      <c r="J23" s="776"/>
      <c r="K23" s="776"/>
      <c r="L23" s="776"/>
      <c r="M23" s="776"/>
      <c r="N23" s="776"/>
      <c r="O23" s="776"/>
      <c r="P23" s="776"/>
      <c r="Q23" s="776"/>
      <c r="R23" s="367">
        <f t="shared" si="4"/>
        <v>0</v>
      </c>
      <c r="S23" s="776"/>
      <c r="T23" s="776"/>
      <c r="U23" s="1199"/>
    </row>
    <row r="24" spans="1:21" s="84" customFormat="1">
      <c r="A24" s="360" t="s">
        <v>1795</v>
      </c>
      <c r="B24" s="216">
        <f t="shared" si="3"/>
        <v>0</v>
      </c>
      <c r="C24" s="776"/>
      <c r="D24" s="776"/>
      <c r="E24" s="776"/>
      <c r="F24" s="776"/>
      <c r="G24" s="776"/>
      <c r="H24" s="776"/>
      <c r="I24" s="776"/>
      <c r="J24" s="776"/>
      <c r="K24" s="776"/>
      <c r="L24" s="776"/>
      <c r="M24" s="776"/>
      <c r="N24" s="776"/>
      <c r="O24" s="776"/>
      <c r="P24" s="776"/>
      <c r="Q24" s="776"/>
      <c r="R24" s="367">
        <f t="shared" si="4"/>
        <v>0</v>
      </c>
      <c r="S24" s="776"/>
      <c r="T24" s="776"/>
      <c r="U24" s="1199"/>
    </row>
    <row r="25" spans="1:21" s="84" customFormat="1">
      <c r="A25" s="929" t="s">
        <v>1796</v>
      </c>
      <c r="B25" s="216">
        <f t="shared" si="3"/>
        <v>0</v>
      </c>
      <c r="C25" s="776"/>
      <c r="D25" s="776"/>
      <c r="E25" s="776"/>
      <c r="F25" s="776"/>
      <c r="G25" s="776"/>
      <c r="H25" s="776"/>
      <c r="I25" s="776"/>
      <c r="J25" s="776"/>
      <c r="K25" s="776"/>
      <c r="L25" s="776"/>
      <c r="M25" s="776"/>
      <c r="N25" s="776"/>
      <c r="O25" s="776"/>
      <c r="P25" s="776"/>
      <c r="Q25" s="776"/>
      <c r="R25" s="367">
        <f t="shared" si="4"/>
        <v>0</v>
      </c>
      <c r="S25" s="776"/>
      <c r="T25" s="776"/>
      <c r="U25" s="1199"/>
    </row>
    <row r="26" spans="1:21" s="84" customFormat="1">
      <c r="A26" s="85" t="s">
        <v>1797</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6">
        <f>SUM(S17:S25)</f>
        <v>0</v>
      </c>
      <c r="T26" s="86">
        <f>SUM(T17:T25)</f>
        <v>0</v>
      </c>
      <c r="U26" s="1199"/>
    </row>
    <row r="27" spans="1:21" s="84" customFormat="1">
      <c r="A27" s="85" t="s">
        <v>1798</v>
      </c>
      <c r="B27" s="216">
        <f>SUM(C27:D27)</f>
        <v>0</v>
      </c>
      <c r="C27" s="776"/>
      <c r="D27" s="776"/>
      <c r="E27" s="776"/>
      <c r="F27" s="776"/>
      <c r="G27" s="776"/>
      <c r="H27" s="776"/>
      <c r="I27" s="776"/>
      <c r="J27" s="776"/>
      <c r="K27" s="776"/>
      <c r="L27" s="776"/>
      <c r="M27" s="776"/>
      <c r="N27" s="776"/>
      <c r="O27" s="776"/>
      <c r="P27" s="776"/>
      <c r="Q27" s="776"/>
      <c r="R27" s="367">
        <f t="shared" si="4"/>
        <v>0</v>
      </c>
      <c r="S27" s="776"/>
      <c r="T27" s="776"/>
      <c r="U27" s="1199"/>
    </row>
    <row r="28" spans="1:21" s="84" customFormat="1" ht="12">
      <c r="A28" s="83" t="s">
        <v>1799</v>
      </c>
      <c r="B28" s="1198"/>
      <c r="C28" s="1198"/>
      <c r="D28" s="1198"/>
      <c r="E28" s="217"/>
      <c r="F28" s="217"/>
      <c r="G28" s="217"/>
      <c r="H28" s="217"/>
      <c r="I28" s="217"/>
      <c r="J28" s="217"/>
      <c r="K28" s="217"/>
      <c r="L28" s="217"/>
      <c r="M28" s="217"/>
      <c r="N28" s="217"/>
      <c r="O28" s="217"/>
      <c r="P28" s="217"/>
      <c r="Q28" s="217"/>
      <c r="R28" s="217"/>
      <c r="S28" s="1198"/>
      <c r="T28" s="1198"/>
      <c r="U28" s="1199"/>
    </row>
    <row r="29" spans="1:21" s="84" customFormat="1">
      <c r="A29" s="170" t="s">
        <v>1788</v>
      </c>
      <c r="B29" s="216">
        <f t="shared" ref="B29:B38" si="6">SUM(C29+D29)</f>
        <v>1845072</v>
      </c>
      <c r="C29" s="776">
        <v>1845072</v>
      </c>
      <c r="D29" s="776"/>
      <c r="E29" s="776">
        <f>+B29-SUM(F29:M29)</f>
        <v>475407</v>
      </c>
      <c r="F29" s="776"/>
      <c r="G29" s="776">
        <f>+G108</f>
        <v>1369665</v>
      </c>
      <c r="H29" s="776"/>
      <c r="I29" s="776"/>
      <c r="J29" s="776"/>
      <c r="K29" s="776"/>
      <c r="L29" s="776"/>
      <c r="M29" s="776"/>
      <c r="N29" s="776"/>
      <c r="O29" s="776"/>
      <c r="P29" s="776"/>
      <c r="Q29" s="776"/>
      <c r="R29" s="367">
        <f t="shared" ref="R29:R37" si="7">SUM(E29:Q29)</f>
        <v>1845072</v>
      </c>
      <c r="S29" s="776">
        <f>+R29</f>
        <v>1845072</v>
      </c>
      <c r="T29" s="776"/>
      <c r="U29" s="1199"/>
    </row>
    <row r="30" spans="1:21" s="84" customFormat="1">
      <c r="A30" s="170" t="s">
        <v>1789</v>
      </c>
      <c r="B30" s="216">
        <f t="shared" si="6"/>
        <v>17665981</v>
      </c>
      <c r="C30" s="776">
        <v>17665981</v>
      </c>
      <c r="D30" s="776"/>
      <c r="E30" s="776">
        <f>+B30-SUM(F30:M30)</f>
        <v>702690</v>
      </c>
      <c r="F30" s="776"/>
      <c r="G30" s="776"/>
      <c r="H30" s="776"/>
      <c r="I30" s="776">
        <f>+I108</f>
        <v>5713291</v>
      </c>
      <c r="J30" s="776">
        <f>+J108</f>
        <v>11250000</v>
      </c>
      <c r="K30" s="776"/>
      <c r="L30" s="776"/>
      <c r="M30" s="776"/>
      <c r="N30" s="776"/>
      <c r="O30" s="776"/>
      <c r="P30" s="776"/>
      <c r="Q30" s="776"/>
      <c r="R30" s="367">
        <f t="shared" si="7"/>
        <v>17665981</v>
      </c>
      <c r="S30" s="776">
        <f t="shared" ref="S30:S37" si="8">+R30</f>
        <v>17665981</v>
      </c>
      <c r="T30" s="776"/>
      <c r="U30" s="1199"/>
    </row>
    <row r="31" spans="1:21" s="84" customFormat="1">
      <c r="A31" s="170" t="s">
        <v>1790</v>
      </c>
      <c r="B31" s="216">
        <f t="shared" si="6"/>
        <v>1300000</v>
      </c>
      <c r="C31" s="776">
        <v>1300000</v>
      </c>
      <c r="D31" s="776"/>
      <c r="E31" s="776"/>
      <c r="F31" s="776"/>
      <c r="G31" s="776"/>
      <c r="H31" s="776"/>
      <c r="I31" s="776"/>
      <c r="J31" s="776"/>
      <c r="K31" s="776">
        <f>+C31</f>
        <v>1300000</v>
      </c>
      <c r="L31" s="776"/>
      <c r="M31" s="776"/>
      <c r="N31" s="776"/>
      <c r="O31" s="776"/>
      <c r="P31" s="776"/>
      <c r="Q31" s="776"/>
      <c r="R31" s="367">
        <f t="shared" si="7"/>
        <v>1300000</v>
      </c>
      <c r="S31" s="776">
        <f t="shared" si="8"/>
        <v>1300000</v>
      </c>
      <c r="T31" s="776"/>
      <c r="U31" s="1199"/>
    </row>
    <row r="32" spans="1:21" s="84" customFormat="1">
      <c r="A32" s="170" t="s">
        <v>1791</v>
      </c>
      <c r="B32" s="216">
        <f t="shared" si="6"/>
        <v>750000</v>
      </c>
      <c r="C32" s="776">
        <v>750000</v>
      </c>
      <c r="D32" s="776"/>
      <c r="E32" s="776">
        <f>+B32-SUM(F32:M32)</f>
        <v>317301</v>
      </c>
      <c r="F32" s="776"/>
      <c r="G32" s="776"/>
      <c r="H32" s="776"/>
      <c r="I32" s="776"/>
      <c r="J32" s="776"/>
      <c r="K32" s="776">
        <f>+K108-K31</f>
        <v>432699</v>
      </c>
      <c r="L32" s="776"/>
      <c r="M32" s="776"/>
      <c r="N32" s="776"/>
      <c r="O32" s="776"/>
      <c r="P32" s="776"/>
      <c r="Q32" s="776"/>
      <c r="R32" s="367">
        <f t="shared" si="7"/>
        <v>750000</v>
      </c>
      <c r="S32" s="776">
        <f t="shared" si="8"/>
        <v>750000</v>
      </c>
      <c r="T32" s="776"/>
      <c r="U32" s="1199"/>
    </row>
    <row r="33" spans="1:21" s="84" customFormat="1">
      <c r="A33" s="170" t="s">
        <v>1792</v>
      </c>
      <c r="B33" s="216">
        <f t="shared" si="6"/>
        <v>750000</v>
      </c>
      <c r="C33" s="776">
        <v>750000</v>
      </c>
      <c r="D33" s="776"/>
      <c r="E33" s="776">
        <f>+C33</f>
        <v>750000</v>
      </c>
      <c r="F33" s="776"/>
      <c r="G33" s="776"/>
      <c r="H33" s="776"/>
      <c r="I33" s="776"/>
      <c r="J33" s="776"/>
      <c r="K33" s="776"/>
      <c r="L33" s="776"/>
      <c r="M33" s="776"/>
      <c r="N33" s="776"/>
      <c r="O33" s="776"/>
      <c r="P33" s="776"/>
      <c r="Q33" s="776"/>
      <c r="R33" s="367">
        <f t="shared" si="7"/>
        <v>750000</v>
      </c>
      <c r="S33" s="776">
        <f t="shared" si="8"/>
        <v>750000</v>
      </c>
      <c r="T33" s="776"/>
      <c r="U33" s="1199"/>
    </row>
    <row r="34" spans="1:21" s="84" customFormat="1">
      <c r="A34" s="170" t="s">
        <v>1793</v>
      </c>
      <c r="B34" s="216">
        <f t="shared" si="6"/>
        <v>2000000</v>
      </c>
      <c r="C34" s="776">
        <v>2000000</v>
      </c>
      <c r="D34" s="776"/>
      <c r="E34" s="776">
        <f>+B34-SUM(F34:M34)</f>
        <v>885000</v>
      </c>
      <c r="F34" s="776">
        <f>+F108</f>
        <v>1115000</v>
      </c>
      <c r="G34" s="776"/>
      <c r="H34" s="776"/>
      <c r="I34" s="776"/>
      <c r="J34" s="776"/>
      <c r="K34" s="776"/>
      <c r="L34" s="776"/>
      <c r="M34" s="776"/>
      <c r="N34" s="776"/>
      <c r="O34" s="776"/>
      <c r="P34" s="776"/>
      <c r="Q34" s="776"/>
      <c r="R34" s="367">
        <f t="shared" si="7"/>
        <v>2000000</v>
      </c>
      <c r="S34" s="776">
        <f t="shared" si="8"/>
        <v>2000000</v>
      </c>
      <c r="T34" s="776"/>
      <c r="U34" s="1199"/>
    </row>
    <row r="35" spans="1:21" s="84" customFormat="1">
      <c r="A35" s="170" t="s">
        <v>1794</v>
      </c>
      <c r="B35" s="216">
        <f t="shared" si="6"/>
        <v>150000</v>
      </c>
      <c r="C35" s="776">
        <v>150000</v>
      </c>
      <c r="D35" s="776"/>
      <c r="E35" s="776">
        <f>+C35</f>
        <v>150000</v>
      </c>
      <c r="F35" s="776"/>
      <c r="G35" s="776"/>
      <c r="H35" s="776"/>
      <c r="I35" s="776"/>
      <c r="J35" s="776"/>
      <c r="K35" s="776"/>
      <c r="L35" s="776"/>
      <c r="M35" s="776"/>
      <c r="N35" s="776"/>
      <c r="O35" s="776"/>
      <c r="P35" s="776"/>
      <c r="Q35" s="776"/>
      <c r="R35" s="367">
        <f t="shared" si="7"/>
        <v>150000</v>
      </c>
      <c r="S35" s="776">
        <f t="shared" si="8"/>
        <v>150000</v>
      </c>
      <c r="T35" s="776"/>
      <c r="U35" s="1199"/>
    </row>
    <row r="36" spans="1:21" s="84" customFormat="1">
      <c r="A36" s="170" t="s">
        <v>1795</v>
      </c>
      <c r="B36" s="216">
        <f t="shared" si="6"/>
        <v>0</v>
      </c>
      <c r="C36" s="776"/>
      <c r="D36" s="776"/>
      <c r="E36" s="776"/>
      <c r="F36" s="776"/>
      <c r="G36" s="776"/>
      <c r="H36" s="776"/>
      <c r="I36" s="776"/>
      <c r="J36" s="776"/>
      <c r="K36" s="776"/>
      <c r="L36" s="776"/>
      <c r="M36" s="776"/>
      <c r="N36" s="776"/>
      <c r="O36" s="776"/>
      <c r="P36" s="776"/>
      <c r="Q36" s="776"/>
      <c r="R36" s="367">
        <f t="shared" si="7"/>
        <v>0</v>
      </c>
      <c r="S36" s="776">
        <f t="shared" si="8"/>
        <v>0</v>
      </c>
      <c r="T36" s="776"/>
      <c r="U36" s="1199"/>
    </row>
    <row r="37" spans="1:21" s="84" customFormat="1">
      <c r="A37" s="929" t="s">
        <v>1800</v>
      </c>
      <c r="B37" s="216">
        <f t="shared" si="6"/>
        <v>900000</v>
      </c>
      <c r="C37" s="776">
        <v>900000</v>
      </c>
      <c r="D37" s="776"/>
      <c r="E37" s="776">
        <f>+B37-SUM(F37:M37)</f>
        <v>587917</v>
      </c>
      <c r="F37" s="776"/>
      <c r="G37" s="776"/>
      <c r="H37" s="776"/>
      <c r="I37" s="776"/>
      <c r="J37" s="776"/>
      <c r="K37" s="776"/>
      <c r="L37" s="776"/>
      <c r="M37" s="776">
        <f>+M108</f>
        <v>312083</v>
      </c>
      <c r="N37" s="776"/>
      <c r="O37" s="776"/>
      <c r="P37" s="776"/>
      <c r="Q37" s="776"/>
      <c r="R37" s="367">
        <f t="shared" si="7"/>
        <v>900000</v>
      </c>
      <c r="S37" s="776">
        <f t="shared" si="8"/>
        <v>900000</v>
      </c>
      <c r="T37" s="776"/>
      <c r="U37" s="1199"/>
    </row>
    <row r="38" spans="1:21" s="84" customFormat="1">
      <c r="A38" s="85" t="s">
        <v>1801</v>
      </c>
      <c r="B38" s="216">
        <f t="shared" si="6"/>
        <v>25361053</v>
      </c>
      <c r="C38" s="216">
        <f>SUM(C29:C37)</f>
        <v>25361053</v>
      </c>
      <c r="D38" s="216">
        <f t="shared" ref="D38:Q38" si="9">SUM(D29:D37)</f>
        <v>0</v>
      </c>
      <c r="E38" s="216">
        <f t="shared" si="9"/>
        <v>3868315</v>
      </c>
      <c r="F38" s="216">
        <f t="shared" si="9"/>
        <v>1115000</v>
      </c>
      <c r="G38" s="216">
        <f t="shared" si="9"/>
        <v>1369665</v>
      </c>
      <c r="H38" s="216">
        <f t="shared" si="9"/>
        <v>0</v>
      </c>
      <c r="I38" s="216">
        <f t="shared" si="9"/>
        <v>5713291</v>
      </c>
      <c r="J38" s="216">
        <f t="shared" si="9"/>
        <v>11250000</v>
      </c>
      <c r="K38" s="216">
        <f t="shared" si="9"/>
        <v>1732699</v>
      </c>
      <c r="L38" s="216">
        <f t="shared" si="9"/>
        <v>0</v>
      </c>
      <c r="M38" s="216">
        <f t="shared" si="9"/>
        <v>312083</v>
      </c>
      <c r="N38" s="216">
        <f t="shared" si="9"/>
        <v>0</v>
      </c>
      <c r="O38" s="216">
        <f t="shared" si="9"/>
        <v>0</v>
      </c>
      <c r="P38" s="216">
        <f t="shared" si="9"/>
        <v>0</v>
      </c>
      <c r="Q38" s="216">
        <f t="shared" si="9"/>
        <v>0</v>
      </c>
      <c r="R38" s="216">
        <f>SUM(R29:R37)</f>
        <v>25361053</v>
      </c>
      <c r="S38" s="86">
        <f>SUM(S29:S37)</f>
        <v>25361053</v>
      </c>
      <c r="T38" s="86">
        <f>SUM(T29:T37)</f>
        <v>0</v>
      </c>
      <c r="U38" s="1199"/>
    </row>
    <row r="39" spans="1:21" s="84" customFormat="1" ht="12">
      <c r="A39" s="83" t="s">
        <v>1802</v>
      </c>
      <c r="B39" s="1198"/>
      <c r="C39" s="1198"/>
      <c r="D39" s="1198"/>
      <c r="E39" s="217"/>
      <c r="F39" s="217"/>
      <c r="G39" s="217"/>
      <c r="H39" s="217"/>
      <c r="I39" s="217"/>
      <c r="J39" s="217"/>
      <c r="K39" s="217"/>
      <c r="L39" s="217"/>
      <c r="M39" s="217"/>
      <c r="N39" s="217"/>
      <c r="O39" s="217"/>
      <c r="P39" s="217"/>
      <c r="Q39" s="217"/>
      <c r="R39" s="217"/>
      <c r="S39" s="1198"/>
      <c r="T39" s="1198"/>
      <c r="U39" s="1199"/>
    </row>
    <row r="40" spans="1:21" s="84" customFormat="1">
      <c r="A40" s="170" t="s">
        <v>1803</v>
      </c>
      <c r="B40" s="216">
        <f>SUM(C40+D40)</f>
        <v>600000</v>
      </c>
      <c r="C40" s="776">
        <v>600000</v>
      </c>
      <c r="D40" s="776"/>
      <c r="E40" s="776">
        <f>+C40</f>
        <v>600000</v>
      </c>
      <c r="F40" s="776"/>
      <c r="G40" s="776"/>
      <c r="H40" s="776"/>
      <c r="I40" s="776"/>
      <c r="J40" s="776"/>
      <c r="K40" s="776"/>
      <c r="L40" s="776"/>
      <c r="M40" s="776"/>
      <c r="N40" s="776"/>
      <c r="O40" s="776"/>
      <c r="P40" s="776"/>
      <c r="Q40" s="776"/>
      <c r="R40" s="367">
        <f>SUM(E40:Q40)</f>
        <v>600000</v>
      </c>
      <c r="S40" s="776">
        <f>+R40</f>
        <v>600000</v>
      </c>
      <c r="T40" s="776"/>
      <c r="U40" s="1199"/>
    </row>
    <row r="41" spans="1:21" s="84" customFormat="1">
      <c r="A41" s="170" t="s">
        <v>1804</v>
      </c>
      <c r="B41" s="216">
        <f>SUM(C41+D41)</f>
        <v>0</v>
      </c>
      <c r="C41" s="776"/>
      <c r="D41" s="776"/>
      <c r="E41" s="776"/>
      <c r="F41" s="776"/>
      <c r="G41" s="776"/>
      <c r="H41" s="776"/>
      <c r="I41" s="776"/>
      <c r="J41" s="776"/>
      <c r="K41" s="776"/>
      <c r="L41" s="776"/>
      <c r="M41" s="776"/>
      <c r="N41" s="776"/>
      <c r="O41" s="776"/>
      <c r="P41" s="776"/>
      <c r="Q41" s="776"/>
      <c r="R41" s="367">
        <f>SUM(E41:Q41)</f>
        <v>0</v>
      </c>
      <c r="S41" s="776"/>
      <c r="T41" s="776"/>
      <c r="U41" s="1199"/>
    </row>
    <row r="42" spans="1:21" s="84" customFormat="1">
      <c r="A42" s="85" t="s">
        <v>1805</v>
      </c>
      <c r="B42" s="216">
        <f>SUM(C42:D42)</f>
        <v>600000</v>
      </c>
      <c r="C42" s="216">
        <f>SUM(C39:C41)</f>
        <v>600000</v>
      </c>
      <c r="D42" s="216">
        <f>SUM(D39:D41)</f>
        <v>0</v>
      </c>
      <c r="E42" s="216">
        <f t="shared" ref="E42:T42" si="10">SUM(E40:E41)</f>
        <v>600000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216">
        <f>SUM(R40:R41)</f>
        <v>600000</v>
      </c>
      <c r="S42" s="86">
        <f t="shared" si="10"/>
        <v>600000</v>
      </c>
      <c r="T42" s="86">
        <f t="shared" si="10"/>
        <v>0</v>
      </c>
      <c r="U42" s="1199"/>
    </row>
    <row r="43" spans="1:21" s="84" customFormat="1">
      <c r="A43" s="85" t="s">
        <v>1806</v>
      </c>
      <c r="B43" s="216">
        <f>SUM(C43:D43)</f>
        <v>200000</v>
      </c>
      <c r="C43" s="776">
        <f>100000+100000</f>
        <v>200000</v>
      </c>
      <c r="D43" s="776"/>
      <c r="E43" s="776">
        <f>+C43</f>
        <v>200000</v>
      </c>
      <c r="F43" s="776"/>
      <c r="G43" s="776"/>
      <c r="H43" s="776"/>
      <c r="I43" s="776"/>
      <c r="J43" s="776"/>
      <c r="K43" s="776"/>
      <c r="L43" s="776"/>
      <c r="M43" s="776"/>
      <c r="N43" s="776"/>
      <c r="O43" s="776"/>
      <c r="P43" s="776"/>
      <c r="Q43" s="776"/>
      <c r="R43" s="367">
        <f>SUM(E43:Q43)</f>
        <v>200000</v>
      </c>
      <c r="S43" s="776">
        <f>+R43</f>
        <v>200000</v>
      </c>
      <c r="T43" s="776"/>
      <c r="U43" s="1199"/>
    </row>
    <row r="44" spans="1:21" s="84" customFormat="1" ht="12">
      <c r="A44" s="83" t="s">
        <v>1807</v>
      </c>
      <c r="B44" s="1198"/>
      <c r="C44" s="1198"/>
      <c r="D44" s="1198"/>
      <c r="E44" s="217"/>
      <c r="F44" s="217"/>
      <c r="G44" s="217"/>
      <c r="H44" s="217"/>
      <c r="I44" s="217"/>
      <c r="J44" s="217"/>
      <c r="K44" s="217"/>
      <c r="L44" s="217"/>
      <c r="M44" s="217"/>
      <c r="N44" s="217"/>
      <c r="O44" s="217"/>
      <c r="P44" s="217"/>
      <c r="Q44" s="217"/>
      <c r="R44" s="217"/>
      <c r="S44" s="1198"/>
      <c r="T44" s="1198"/>
      <c r="U44" s="1199"/>
    </row>
    <row r="45" spans="1:21" s="84" customFormat="1">
      <c r="A45" s="170" t="s">
        <v>1808</v>
      </c>
      <c r="B45" s="216">
        <f t="shared" ref="B45:B53" si="11">SUM(C45+D45)</f>
        <v>1448964</v>
      </c>
      <c r="C45" s="776">
        <f>1281481+167483</f>
        <v>1448964</v>
      </c>
      <c r="D45" s="776"/>
      <c r="E45" s="776">
        <f>+C45</f>
        <v>1448964</v>
      </c>
      <c r="F45" s="776"/>
      <c r="G45" s="776"/>
      <c r="H45" s="776"/>
      <c r="I45" s="776"/>
      <c r="J45" s="776"/>
      <c r="K45" s="776"/>
      <c r="L45" s="776"/>
      <c r="M45" s="776"/>
      <c r="N45" s="776"/>
      <c r="O45" s="776"/>
      <c r="P45" s="776"/>
      <c r="Q45" s="776"/>
      <c r="R45" s="367">
        <f t="shared" ref="R45:R53" si="12">SUM(E45:Q45)</f>
        <v>1448964</v>
      </c>
      <c r="S45" s="776">
        <f>618646+33497-1</f>
        <v>652142</v>
      </c>
      <c r="T45" s="776"/>
      <c r="U45" s="1199"/>
    </row>
    <row r="46" spans="1:21" s="84" customFormat="1">
      <c r="A46" s="170" t="s">
        <v>1809</v>
      </c>
      <c r="B46" s="216">
        <f t="shared" si="11"/>
        <v>204463</v>
      </c>
      <c r="C46" s="776">
        <f>179464+25000-1</f>
        <v>204463</v>
      </c>
      <c r="D46" s="776"/>
      <c r="E46" s="776">
        <f>+C46</f>
        <v>204463</v>
      </c>
      <c r="F46" s="776"/>
      <c r="G46" s="776"/>
      <c r="H46" s="776"/>
      <c r="I46" s="776"/>
      <c r="J46" s="776"/>
      <c r="K46" s="776"/>
      <c r="L46" s="776"/>
      <c r="M46" s="776"/>
      <c r="N46" s="776"/>
      <c r="O46" s="776"/>
      <c r="P46" s="776"/>
      <c r="Q46" s="776"/>
      <c r="R46" s="367">
        <f t="shared" si="12"/>
        <v>204463</v>
      </c>
      <c r="S46" s="776">
        <f>80772+11252</f>
        <v>92024</v>
      </c>
      <c r="T46" s="776"/>
      <c r="U46" s="1199"/>
    </row>
    <row r="47" spans="1:21" s="84" customFormat="1">
      <c r="A47" s="1201" t="s">
        <v>1810</v>
      </c>
      <c r="B47" s="216">
        <f t="shared" si="11"/>
        <v>0</v>
      </c>
      <c r="C47" s="776"/>
      <c r="D47" s="776"/>
      <c r="E47" s="776"/>
      <c r="F47" s="776"/>
      <c r="G47" s="776"/>
      <c r="H47" s="776"/>
      <c r="I47" s="776"/>
      <c r="J47" s="776"/>
      <c r="K47" s="776"/>
      <c r="L47" s="776"/>
      <c r="M47" s="776"/>
      <c r="N47" s="776"/>
      <c r="O47" s="776"/>
      <c r="P47" s="776"/>
      <c r="Q47" s="776"/>
      <c r="R47" s="367">
        <f t="shared" si="12"/>
        <v>0</v>
      </c>
      <c r="S47" s="776"/>
      <c r="T47" s="776"/>
      <c r="U47" s="1199"/>
    </row>
    <row r="48" spans="1:21" s="84" customFormat="1">
      <c r="A48" s="170" t="s">
        <v>1811</v>
      </c>
      <c r="B48" s="216">
        <f t="shared" si="11"/>
        <v>150000</v>
      </c>
      <c r="C48" s="776">
        <v>150000</v>
      </c>
      <c r="D48" s="776"/>
      <c r="E48" s="776">
        <f>+C48</f>
        <v>150000</v>
      </c>
      <c r="F48" s="776"/>
      <c r="G48" s="776"/>
      <c r="H48" s="776"/>
      <c r="I48" s="776"/>
      <c r="J48" s="776"/>
      <c r="K48" s="776"/>
      <c r="L48" s="776"/>
      <c r="M48" s="776"/>
      <c r="N48" s="776"/>
      <c r="O48" s="776"/>
      <c r="P48" s="776"/>
      <c r="Q48" s="776"/>
      <c r="R48" s="367">
        <f t="shared" si="12"/>
        <v>150000</v>
      </c>
      <c r="S48" s="776">
        <f>+R48</f>
        <v>150000</v>
      </c>
      <c r="T48" s="776"/>
      <c r="U48" s="1199"/>
    </row>
    <row r="49" spans="1:21" s="84" customFormat="1">
      <c r="A49" s="170" t="s">
        <v>1812</v>
      </c>
      <c r="B49" s="216">
        <f t="shared" si="11"/>
        <v>196536</v>
      </c>
      <c r="C49" s="776">
        <f>65000+45000+49464+23929+8167+4976</f>
        <v>196536</v>
      </c>
      <c r="D49" s="776"/>
      <c r="E49" s="776">
        <f>+C49</f>
        <v>196536</v>
      </c>
      <c r="F49" s="776"/>
      <c r="G49" s="776"/>
      <c r="H49" s="776"/>
      <c r="I49" s="776"/>
      <c r="J49" s="776"/>
      <c r="K49" s="776"/>
      <c r="L49" s="776"/>
      <c r="M49" s="776"/>
      <c r="N49" s="776"/>
      <c r="O49" s="776"/>
      <c r="P49" s="776"/>
      <c r="Q49" s="776"/>
      <c r="R49" s="367">
        <f t="shared" si="12"/>
        <v>196536</v>
      </c>
      <c r="S49" s="776">
        <f>19208+13298+14617+7071+2413+1470</f>
        <v>58077</v>
      </c>
      <c r="T49" s="776"/>
      <c r="U49" s="1199"/>
    </row>
    <row r="50" spans="1:21" s="84" customFormat="1">
      <c r="A50" s="170" t="s">
        <v>1813</v>
      </c>
      <c r="B50" s="216">
        <f t="shared" si="11"/>
        <v>35000</v>
      </c>
      <c r="C50" s="776">
        <v>35000</v>
      </c>
      <c r="D50" s="776"/>
      <c r="E50" s="776">
        <f>+C50</f>
        <v>35000</v>
      </c>
      <c r="F50" s="776"/>
      <c r="G50" s="776"/>
      <c r="H50" s="776"/>
      <c r="I50" s="776"/>
      <c r="J50" s="776"/>
      <c r="K50" s="776"/>
      <c r="L50" s="776"/>
      <c r="M50" s="776"/>
      <c r="N50" s="776"/>
      <c r="O50" s="776"/>
      <c r="P50" s="776"/>
      <c r="Q50" s="776"/>
      <c r="R50" s="367">
        <f t="shared" si="12"/>
        <v>35000</v>
      </c>
      <c r="S50" s="776">
        <f>+R50</f>
        <v>35000</v>
      </c>
      <c r="T50" s="776"/>
      <c r="U50" s="1199"/>
    </row>
    <row r="51" spans="1:21" s="84" customFormat="1">
      <c r="A51" s="170" t="s">
        <v>1814</v>
      </c>
      <c r="B51" s="216">
        <f t="shared" si="11"/>
        <v>8000</v>
      </c>
      <c r="C51" s="776">
        <v>8000</v>
      </c>
      <c r="D51" s="776"/>
      <c r="E51" s="776">
        <f>+C51</f>
        <v>8000</v>
      </c>
      <c r="F51" s="776"/>
      <c r="G51" s="776"/>
      <c r="H51" s="776"/>
      <c r="I51" s="776"/>
      <c r="J51" s="776"/>
      <c r="K51" s="776"/>
      <c r="L51" s="776"/>
      <c r="M51" s="776"/>
      <c r="N51" s="776"/>
      <c r="O51" s="776"/>
      <c r="P51" s="776"/>
      <c r="Q51" s="776"/>
      <c r="R51" s="367">
        <f t="shared" si="12"/>
        <v>8000</v>
      </c>
      <c r="S51" s="776">
        <f>+R51</f>
        <v>8000</v>
      </c>
      <c r="T51" s="776"/>
      <c r="U51" s="1199"/>
    </row>
    <row r="52" spans="1:21" s="84" customFormat="1">
      <c r="A52" s="170" t="s">
        <v>1815</v>
      </c>
      <c r="B52" s="216">
        <f t="shared" si="11"/>
        <v>175000</v>
      </c>
      <c r="C52" s="776">
        <v>175000</v>
      </c>
      <c r="D52" s="776"/>
      <c r="E52" s="776">
        <f>+C52</f>
        <v>175000</v>
      </c>
      <c r="F52" s="776"/>
      <c r="G52" s="776"/>
      <c r="H52" s="776"/>
      <c r="I52" s="776"/>
      <c r="J52" s="776"/>
      <c r="K52" s="776"/>
      <c r="L52" s="776"/>
      <c r="M52" s="776"/>
      <c r="N52" s="776"/>
      <c r="O52" s="776"/>
      <c r="P52" s="776"/>
      <c r="Q52" s="776"/>
      <c r="R52" s="367">
        <f t="shared" si="12"/>
        <v>175000</v>
      </c>
      <c r="S52" s="776">
        <f>+R52</f>
        <v>175000</v>
      </c>
      <c r="T52" s="776"/>
      <c r="U52" s="1199"/>
    </row>
    <row r="53" spans="1:21" s="84" customFormat="1">
      <c r="A53" s="929" t="s">
        <v>1816</v>
      </c>
      <c r="B53" s="216">
        <f t="shared" si="11"/>
        <v>41392</v>
      </c>
      <c r="C53" s="776">
        <v>41392</v>
      </c>
      <c r="D53" s="776"/>
      <c r="E53" s="776"/>
      <c r="F53" s="776"/>
      <c r="G53" s="776"/>
      <c r="H53" s="776">
        <f>+H108</f>
        <v>41392</v>
      </c>
      <c r="I53" s="776"/>
      <c r="J53" s="776"/>
      <c r="K53" s="776"/>
      <c r="L53" s="776"/>
      <c r="M53" s="776"/>
      <c r="N53" s="776"/>
      <c r="O53" s="776"/>
      <c r="P53" s="776"/>
      <c r="Q53" s="776"/>
      <c r="R53" s="367">
        <f t="shared" si="12"/>
        <v>41392</v>
      </c>
      <c r="S53" s="776">
        <v>28845</v>
      </c>
      <c r="T53" s="776"/>
      <c r="U53" s="1199"/>
    </row>
    <row r="54" spans="1:21" s="88" customFormat="1">
      <c r="A54" s="85" t="s">
        <v>1817</v>
      </c>
      <c r="B54" s="86">
        <f>SUM(C54:D54)</f>
        <v>2259355</v>
      </c>
      <c r="C54" s="86">
        <f t="shared" ref="C54:T54" si="13">SUM(C45:C53)</f>
        <v>2259355</v>
      </c>
      <c r="D54" s="86">
        <f t="shared" si="13"/>
        <v>0</v>
      </c>
      <c r="E54" s="86">
        <f t="shared" si="13"/>
        <v>2217963</v>
      </c>
      <c r="F54" s="86">
        <f t="shared" si="13"/>
        <v>0</v>
      </c>
      <c r="G54" s="86">
        <f t="shared" si="13"/>
        <v>0</v>
      </c>
      <c r="H54" s="86">
        <f t="shared" si="13"/>
        <v>41392</v>
      </c>
      <c r="I54" s="86">
        <f t="shared" si="13"/>
        <v>0</v>
      </c>
      <c r="J54" s="86">
        <f t="shared" si="13"/>
        <v>0</v>
      </c>
      <c r="K54" s="86">
        <f t="shared" si="13"/>
        <v>0</v>
      </c>
      <c r="L54" s="86">
        <f t="shared" si="13"/>
        <v>0</v>
      </c>
      <c r="M54" s="86">
        <f t="shared" si="13"/>
        <v>0</v>
      </c>
      <c r="N54" s="86">
        <f t="shared" si="13"/>
        <v>0</v>
      </c>
      <c r="O54" s="86">
        <f t="shared" si="13"/>
        <v>0</v>
      </c>
      <c r="P54" s="86">
        <f t="shared" si="13"/>
        <v>0</v>
      </c>
      <c r="Q54" s="86">
        <f t="shared" si="13"/>
        <v>0</v>
      </c>
      <c r="R54" s="216">
        <f t="shared" si="13"/>
        <v>2259355</v>
      </c>
      <c r="S54" s="86">
        <f t="shared" si="13"/>
        <v>1199088</v>
      </c>
      <c r="T54" s="86">
        <f t="shared" si="13"/>
        <v>0</v>
      </c>
      <c r="U54" s="87"/>
    </row>
    <row r="55" spans="1:21" s="84" customFormat="1" ht="12">
      <c r="A55" s="83" t="s">
        <v>1354</v>
      </c>
      <c r="B55" s="1198"/>
      <c r="C55" s="1198"/>
      <c r="D55" s="1198"/>
      <c r="E55" s="217"/>
      <c r="F55" s="217"/>
      <c r="G55" s="217"/>
      <c r="H55" s="217"/>
      <c r="I55" s="217"/>
      <c r="J55" s="217"/>
      <c r="K55" s="217"/>
      <c r="L55" s="217"/>
      <c r="M55" s="217"/>
      <c r="N55" s="217"/>
      <c r="O55" s="217"/>
      <c r="P55" s="217"/>
      <c r="Q55" s="217"/>
      <c r="R55" s="217"/>
      <c r="S55" s="1198"/>
      <c r="T55" s="1198"/>
      <c r="U55" s="1199"/>
    </row>
    <row r="56" spans="1:21" s="84" customFormat="1">
      <c r="A56" s="170" t="s">
        <v>1818</v>
      </c>
      <c r="B56" s="216">
        <f t="shared" ref="B56:B61" si="14">SUM(C56+D56)</f>
        <v>21150</v>
      </c>
      <c r="C56" s="776">
        <f>11150+10000</f>
        <v>21150</v>
      </c>
      <c r="D56" s="776"/>
      <c r="E56" s="776">
        <f>+C56</f>
        <v>21150</v>
      </c>
      <c r="F56" s="776"/>
      <c r="G56" s="776"/>
      <c r="H56" s="776"/>
      <c r="I56" s="776"/>
      <c r="J56" s="776"/>
      <c r="K56" s="776"/>
      <c r="L56" s="776"/>
      <c r="M56" s="776"/>
      <c r="N56" s="776"/>
      <c r="O56" s="776"/>
      <c r="P56" s="776"/>
      <c r="Q56" s="776"/>
      <c r="R56" s="367">
        <f t="shared" ref="R56:R61" si="15">SUM(E56:Q56)</f>
        <v>21150</v>
      </c>
      <c r="S56" s="1200"/>
      <c r="T56" s="1200"/>
      <c r="U56" s="1199"/>
    </row>
    <row r="57" spans="1:21" s="108" customFormat="1">
      <c r="A57" s="1201" t="s">
        <v>1810</v>
      </c>
      <c r="B57" s="1202">
        <f t="shared" si="14"/>
        <v>0</v>
      </c>
      <c r="C57" s="1203"/>
      <c r="D57" s="1203"/>
      <c r="E57" s="1203"/>
      <c r="F57" s="1203"/>
      <c r="G57" s="1203"/>
      <c r="H57" s="1203"/>
      <c r="I57" s="1203"/>
      <c r="J57" s="1203"/>
      <c r="K57" s="1203"/>
      <c r="L57" s="1203"/>
      <c r="M57" s="1203"/>
      <c r="N57" s="1203"/>
      <c r="O57" s="1203"/>
      <c r="P57" s="1203"/>
      <c r="Q57" s="1203"/>
      <c r="R57" s="367">
        <f t="shared" si="15"/>
        <v>0</v>
      </c>
      <c r="S57" s="1204"/>
      <c r="T57" s="1204"/>
      <c r="U57" s="1205"/>
    </row>
    <row r="58" spans="1:21" s="84" customFormat="1">
      <c r="A58" s="170" t="s">
        <v>1813</v>
      </c>
      <c r="B58" s="216">
        <f t="shared" si="14"/>
        <v>10000</v>
      </c>
      <c r="C58" s="776">
        <v>10000</v>
      </c>
      <c r="D58" s="776"/>
      <c r="E58" s="776">
        <f>+C58</f>
        <v>10000</v>
      </c>
      <c r="F58" s="776"/>
      <c r="G58" s="776"/>
      <c r="H58" s="776"/>
      <c r="I58" s="776"/>
      <c r="J58" s="776"/>
      <c r="K58" s="776"/>
      <c r="L58" s="776"/>
      <c r="M58" s="776"/>
      <c r="N58" s="776"/>
      <c r="O58" s="776"/>
      <c r="P58" s="776"/>
      <c r="Q58" s="776"/>
      <c r="R58" s="367">
        <f t="shared" si="15"/>
        <v>10000</v>
      </c>
      <c r="S58" s="1200"/>
      <c r="T58" s="1200"/>
      <c r="U58" s="1199"/>
    </row>
    <row r="59" spans="1:21" s="84" customFormat="1">
      <c r="A59" s="170" t="s">
        <v>1814</v>
      </c>
      <c r="B59" s="216">
        <f t="shared" si="14"/>
        <v>0</v>
      </c>
      <c r="C59" s="776"/>
      <c r="D59" s="776"/>
      <c r="E59" s="776"/>
      <c r="F59" s="776"/>
      <c r="G59" s="776"/>
      <c r="H59" s="776"/>
      <c r="I59" s="776"/>
      <c r="J59" s="776"/>
      <c r="K59" s="776"/>
      <c r="L59" s="776"/>
      <c r="M59" s="776"/>
      <c r="N59" s="776"/>
      <c r="O59" s="776"/>
      <c r="P59" s="776"/>
      <c r="Q59" s="776"/>
      <c r="R59" s="367">
        <f t="shared" si="15"/>
        <v>0</v>
      </c>
      <c r="S59" s="1200"/>
      <c r="T59" s="1200"/>
      <c r="U59" s="1199"/>
    </row>
    <row r="60" spans="1:21" s="84" customFormat="1">
      <c r="A60" s="170" t="s">
        <v>1815</v>
      </c>
      <c r="B60" s="216">
        <f t="shared" si="14"/>
        <v>0</v>
      </c>
      <c r="C60" s="776"/>
      <c r="D60" s="776"/>
      <c r="E60" s="776">
        <f>+C60</f>
        <v>0</v>
      </c>
      <c r="F60" s="776"/>
      <c r="G60" s="776"/>
      <c r="H60" s="776"/>
      <c r="I60" s="776"/>
      <c r="J60" s="776"/>
      <c r="K60" s="776"/>
      <c r="L60" s="776"/>
      <c r="M60" s="776"/>
      <c r="N60" s="776"/>
      <c r="O60" s="776"/>
      <c r="P60" s="776"/>
      <c r="Q60" s="776"/>
      <c r="R60" s="367">
        <f t="shared" si="15"/>
        <v>0</v>
      </c>
      <c r="S60" s="1200"/>
      <c r="T60" s="1200"/>
      <c r="U60" s="1199"/>
    </row>
    <row r="61" spans="1:21" s="84" customFormat="1">
      <c r="A61" s="929" t="s">
        <v>1796</v>
      </c>
      <c r="B61" s="216">
        <f t="shared" si="14"/>
        <v>0</v>
      </c>
      <c r="C61" s="776"/>
      <c r="D61" s="776"/>
      <c r="E61" s="776"/>
      <c r="F61" s="776"/>
      <c r="G61" s="776"/>
      <c r="H61" s="776"/>
      <c r="I61" s="776"/>
      <c r="J61" s="776"/>
      <c r="K61" s="776"/>
      <c r="L61" s="776"/>
      <c r="M61" s="776"/>
      <c r="N61" s="776"/>
      <c r="O61" s="776"/>
      <c r="P61" s="776"/>
      <c r="Q61" s="776"/>
      <c r="R61" s="367">
        <f t="shared" si="15"/>
        <v>0</v>
      </c>
      <c r="S61" s="1200"/>
      <c r="T61" s="1200"/>
      <c r="U61" s="1199"/>
    </row>
    <row r="62" spans="1:21" s="84" customFormat="1" ht="13.75" customHeight="1">
      <c r="A62" s="85" t="s">
        <v>1819</v>
      </c>
      <c r="B62" s="216">
        <f>SUM(C62:D62)</f>
        <v>31150</v>
      </c>
      <c r="C62" s="216">
        <f t="shared" ref="C62:R62" si="16">SUM(C56:C61)</f>
        <v>31150</v>
      </c>
      <c r="D62" s="216">
        <f t="shared" si="16"/>
        <v>0</v>
      </c>
      <c r="E62" s="216">
        <f t="shared" si="16"/>
        <v>31150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216">
        <f t="shared" si="16"/>
        <v>31150</v>
      </c>
      <c r="S62" s="1200"/>
      <c r="T62" s="1200"/>
      <c r="U62" s="1199"/>
    </row>
    <row r="63" spans="1:21" s="84" customFormat="1">
      <c r="A63" s="89" t="s">
        <v>1820</v>
      </c>
      <c r="B63" s="216">
        <f t="shared" ref="B63:R63" si="17">SUM(B8+B11+B13+B14+B15+B26+B27+B38+B42+B43+B54+B62)</f>
        <v>30327351</v>
      </c>
      <c r="C63" s="216">
        <f t="shared" si="17"/>
        <v>30327351</v>
      </c>
      <c r="D63" s="216">
        <f t="shared" si="17"/>
        <v>0</v>
      </c>
      <c r="E63" s="216">
        <f t="shared" si="17"/>
        <v>7817428</v>
      </c>
      <c r="F63" s="216">
        <f t="shared" si="17"/>
        <v>1115000</v>
      </c>
      <c r="G63" s="216">
        <f t="shared" si="17"/>
        <v>1369665</v>
      </c>
      <c r="H63" s="216">
        <f t="shared" si="17"/>
        <v>41392</v>
      </c>
      <c r="I63" s="216">
        <f t="shared" si="17"/>
        <v>5713291</v>
      </c>
      <c r="J63" s="216">
        <f t="shared" si="17"/>
        <v>11250000</v>
      </c>
      <c r="K63" s="216">
        <f t="shared" si="17"/>
        <v>1732699</v>
      </c>
      <c r="L63" s="216">
        <f t="shared" si="17"/>
        <v>0</v>
      </c>
      <c r="M63" s="216">
        <f t="shared" si="17"/>
        <v>312083</v>
      </c>
      <c r="N63" s="216">
        <f t="shared" si="17"/>
        <v>975793</v>
      </c>
      <c r="O63" s="216">
        <f t="shared" si="17"/>
        <v>0</v>
      </c>
      <c r="P63" s="216">
        <f t="shared" si="17"/>
        <v>0</v>
      </c>
      <c r="Q63" s="216">
        <f t="shared" si="17"/>
        <v>0</v>
      </c>
      <c r="R63" s="216">
        <f t="shared" si="17"/>
        <v>30327351</v>
      </c>
      <c r="S63" s="216">
        <f>SUM(S10+S13+S14+S15+S26+S27+S38+S42+S43+S54)</f>
        <v>28210141</v>
      </c>
      <c r="T63" s="216">
        <f>SUM(T11+T13+T14+T15+T26+T27+T38+T42+T43+T54)</f>
        <v>0</v>
      </c>
      <c r="U63" s="1199"/>
    </row>
    <row r="64" spans="1:21" s="84" customFormat="1" ht="24">
      <c r="A64" s="83" t="s">
        <v>1821</v>
      </c>
      <c r="B64" s="1198"/>
      <c r="C64" s="1198"/>
      <c r="D64" s="1198"/>
      <c r="E64" s="217"/>
      <c r="F64" s="217"/>
      <c r="G64" s="217"/>
      <c r="H64" s="217"/>
      <c r="I64" s="217"/>
      <c r="J64" s="217"/>
      <c r="K64" s="217"/>
      <c r="L64" s="217"/>
      <c r="M64" s="217"/>
      <c r="N64" s="217"/>
      <c r="O64" s="217"/>
      <c r="P64" s="217"/>
      <c r="Q64" s="217"/>
      <c r="R64" s="217"/>
      <c r="S64" s="1198"/>
      <c r="T64" s="1198"/>
      <c r="U64" s="1199"/>
    </row>
    <row r="65" spans="1:21" s="84" customFormat="1">
      <c r="A65" s="170" t="s">
        <v>1822</v>
      </c>
      <c r="B65" s="216">
        <f>SUM(C65+D65)</f>
        <v>80000</v>
      </c>
      <c r="C65" s="776">
        <f>65000+15000</f>
        <v>80000</v>
      </c>
      <c r="D65" s="776"/>
      <c r="E65" s="776">
        <f>+C65</f>
        <v>80000</v>
      </c>
      <c r="F65" s="776"/>
      <c r="G65" s="776"/>
      <c r="H65" s="776"/>
      <c r="I65" s="776"/>
      <c r="J65" s="776"/>
      <c r="K65" s="776"/>
      <c r="L65" s="776"/>
      <c r="M65" s="776"/>
      <c r="N65" s="776"/>
      <c r="O65" s="776"/>
      <c r="P65" s="776"/>
      <c r="Q65" s="776"/>
      <c r="R65" s="367">
        <f>SUM(E65:Q65)</f>
        <v>80000</v>
      </c>
      <c r="S65" s="776">
        <v>29255</v>
      </c>
      <c r="T65" s="776"/>
      <c r="U65" s="1199"/>
    </row>
    <row r="66" spans="1:21" s="84" customFormat="1" ht="24" customHeight="1">
      <c r="A66" s="170" t="s">
        <v>1823</v>
      </c>
      <c r="B66" s="216">
        <f>SUM(C66+D66)</f>
        <v>0</v>
      </c>
      <c r="C66" s="776"/>
      <c r="D66" s="776"/>
      <c r="E66" s="776"/>
      <c r="F66" s="776"/>
      <c r="G66" s="776"/>
      <c r="H66" s="776"/>
      <c r="I66" s="776"/>
      <c r="J66" s="776"/>
      <c r="K66" s="776"/>
      <c r="L66" s="776"/>
      <c r="M66" s="776"/>
      <c r="N66" s="776"/>
      <c r="O66" s="776"/>
      <c r="P66" s="776"/>
      <c r="Q66" s="776"/>
      <c r="R66" s="367">
        <f>SUM(E66:Q66)</f>
        <v>0</v>
      </c>
      <c r="S66" s="776"/>
      <c r="T66" s="776"/>
      <c r="U66" s="1199"/>
    </row>
    <row r="67" spans="1:21" s="84" customFormat="1" ht="24" customHeight="1">
      <c r="A67" s="170" t="s">
        <v>1824</v>
      </c>
      <c r="B67" s="216">
        <f>SUM(C67+D67)</f>
        <v>0</v>
      </c>
      <c r="C67" s="776"/>
      <c r="D67" s="776"/>
      <c r="E67" s="776"/>
      <c r="F67" s="776"/>
      <c r="G67" s="776"/>
      <c r="H67" s="776"/>
      <c r="I67" s="776"/>
      <c r="J67" s="776"/>
      <c r="K67" s="776"/>
      <c r="L67" s="776"/>
      <c r="M67" s="776"/>
      <c r="N67" s="776"/>
      <c r="O67" s="776"/>
      <c r="P67" s="776"/>
      <c r="Q67" s="776"/>
      <c r="R67" s="367">
        <f>SUM(E67:Q67)</f>
        <v>0</v>
      </c>
      <c r="S67" s="776"/>
      <c r="T67" s="776"/>
      <c r="U67" s="1199"/>
    </row>
    <row r="68" spans="1:21" s="84" customFormat="1" ht="12" customHeight="1">
      <c r="A68" s="170" t="s">
        <v>1825</v>
      </c>
      <c r="B68" s="216">
        <f>SUM(C68+D68)</f>
        <v>0</v>
      </c>
      <c r="C68" s="776"/>
      <c r="D68" s="776"/>
      <c r="E68" s="776"/>
      <c r="F68" s="776"/>
      <c r="G68" s="776"/>
      <c r="H68" s="776"/>
      <c r="I68" s="776"/>
      <c r="J68" s="776"/>
      <c r="K68" s="776"/>
      <c r="L68" s="776"/>
      <c r="M68" s="776"/>
      <c r="N68" s="776"/>
      <c r="O68" s="776"/>
      <c r="P68" s="776"/>
      <c r="Q68" s="776"/>
      <c r="R68" s="367">
        <f>SUM(E68:Q68)</f>
        <v>0</v>
      </c>
      <c r="S68" s="776"/>
      <c r="T68" s="776"/>
      <c r="U68" s="1199"/>
    </row>
    <row r="69" spans="1:21" s="84" customFormat="1">
      <c r="A69" s="929" t="s">
        <v>1826</v>
      </c>
      <c r="B69" s="216">
        <f>SUM(C69+D69)</f>
        <v>65000</v>
      </c>
      <c r="C69" s="776">
        <f>50000+15000</f>
        <v>65000</v>
      </c>
      <c r="D69" s="776"/>
      <c r="E69" s="776">
        <f>+C69</f>
        <v>65000</v>
      </c>
      <c r="F69" s="776"/>
      <c r="G69" s="776"/>
      <c r="H69" s="776"/>
      <c r="I69" s="776"/>
      <c r="J69" s="776"/>
      <c r="K69" s="776"/>
      <c r="L69" s="776"/>
      <c r="M69" s="776"/>
      <c r="N69" s="776"/>
      <c r="O69" s="776"/>
      <c r="P69" s="776"/>
      <c r="Q69" s="776"/>
      <c r="R69" s="367">
        <f>SUM(E69:Q69)</f>
        <v>65000</v>
      </c>
      <c r="S69" s="776">
        <v>50000</v>
      </c>
      <c r="T69" s="776"/>
      <c r="U69" s="1199"/>
    </row>
    <row r="70" spans="1:21" s="84" customFormat="1">
      <c r="A70" s="85" t="s">
        <v>1827</v>
      </c>
      <c r="B70" s="216">
        <f>SUM(C70:D70)</f>
        <v>145000</v>
      </c>
      <c r="C70" s="216">
        <f>SUM(C65:C69)</f>
        <v>145000</v>
      </c>
      <c r="D70" s="216">
        <f>SUM(D65:D69)</f>
        <v>0</v>
      </c>
      <c r="E70" s="216">
        <f t="shared" ref="E70:T70" si="18">SUM(E65:E69)</f>
        <v>145000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216">
        <f t="shared" si="18"/>
        <v>145000</v>
      </c>
      <c r="S70" s="86">
        <f t="shared" si="18"/>
        <v>79255</v>
      </c>
      <c r="T70" s="86">
        <f t="shared" si="18"/>
        <v>0</v>
      </c>
      <c r="U70" s="1199"/>
    </row>
    <row r="71" spans="1:21" s="84" customFormat="1" ht="12">
      <c r="A71" s="83" t="s">
        <v>1828</v>
      </c>
      <c r="B71" s="217"/>
      <c r="C71" s="217"/>
      <c r="D71" s="217"/>
      <c r="E71" s="217"/>
      <c r="F71" s="217"/>
      <c r="G71" s="217"/>
      <c r="H71" s="217"/>
      <c r="I71" s="217"/>
      <c r="J71" s="217"/>
      <c r="K71" s="217"/>
      <c r="L71" s="217"/>
      <c r="M71" s="217"/>
      <c r="N71" s="217"/>
      <c r="O71" s="217"/>
      <c r="P71" s="217"/>
      <c r="Q71" s="217"/>
      <c r="R71" s="217"/>
      <c r="S71" s="217"/>
      <c r="T71" s="217"/>
      <c r="U71" s="1199"/>
    </row>
    <row r="72" spans="1:21" s="84" customFormat="1">
      <c r="A72" s="170" t="s">
        <v>1829</v>
      </c>
      <c r="B72" s="216">
        <f>SUM(C72+D72)</f>
        <v>0</v>
      </c>
      <c r="C72" s="776"/>
      <c r="D72" s="776"/>
      <c r="E72" s="776"/>
      <c r="F72" s="776"/>
      <c r="G72" s="776"/>
      <c r="H72" s="776"/>
      <c r="I72" s="776"/>
      <c r="J72" s="776"/>
      <c r="K72" s="776"/>
      <c r="L72" s="776"/>
      <c r="M72" s="776"/>
      <c r="N72" s="776"/>
      <c r="O72" s="776"/>
      <c r="P72" s="776"/>
      <c r="Q72" s="776"/>
      <c r="R72" s="367">
        <f>SUM(E72:Q72)</f>
        <v>0</v>
      </c>
      <c r="S72" s="1200"/>
      <c r="T72" s="1200"/>
      <c r="U72" s="1199"/>
    </row>
    <row r="73" spans="1:21" s="84" customFormat="1">
      <c r="A73" s="170" t="s">
        <v>1830</v>
      </c>
      <c r="B73" s="216">
        <f>SUM(C73+D73)</f>
        <v>0</v>
      </c>
      <c r="C73" s="776"/>
      <c r="D73" s="776"/>
      <c r="E73" s="776"/>
      <c r="F73" s="776"/>
      <c r="G73" s="776"/>
      <c r="H73" s="776"/>
      <c r="I73" s="776"/>
      <c r="J73" s="776"/>
      <c r="K73" s="776"/>
      <c r="L73" s="776"/>
      <c r="M73" s="776"/>
      <c r="N73" s="776"/>
      <c r="O73" s="776"/>
      <c r="P73" s="776"/>
      <c r="Q73" s="776"/>
      <c r="R73" s="367">
        <f>SUM(E73:Q73)</f>
        <v>0</v>
      </c>
      <c r="S73" s="1200"/>
      <c r="T73" s="1200"/>
      <c r="U73" s="1199"/>
    </row>
    <row r="74" spans="1:21" s="84" customFormat="1">
      <c r="A74" s="310" t="s">
        <v>1831</v>
      </c>
      <c r="B74" s="216">
        <f>SUM(C74+D74)</f>
        <v>0</v>
      </c>
      <c r="C74" s="776"/>
      <c r="D74" s="776"/>
      <c r="E74" s="776"/>
      <c r="F74" s="776"/>
      <c r="G74" s="776"/>
      <c r="H74" s="776"/>
      <c r="I74" s="776"/>
      <c r="J74" s="776"/>
      <c r="K74" s="776"/>
      <c r="L74" s="776"/>
      <c r="M74" s="776"/>
      <c r="N74" s="776"/>
      <c r="O74" s="776"/>
      <c r="P74" s="776"/>
      <c r="Q74" s="776"/>
      <c r="R74" s="367">
        <f>SUM(E74:Q74)</f>
        <v>0</v>
      </c>
      <c r="S74" s="1200"/>
      <c r="T74" s="1200"/>
      <c r="U74" s="1199"/>
    </row>
    <row r="75" spans="1:21" s="84" customFormat="1">
      <c r="A75" s="170" t="s">
        <v>1832</v>
      </c>
      <c r="B75" s="216">
        <f>SUM(C75+D75)</f>
        <v>154850</v>
      </c>
      <c r="C75" s="776">
        <v>154850</v>
      </c>
      <c r="D75" s="776"/>
      <c r="E75" s="776">
        <f>+C75</f>
        <v>154850</v>
      </c>
      <c r="F75" s="776"/>
      <c r="G75" s="776"/>
      <c r="H75" s="776"/>
      <c r="I75" s="776"/>
      <c r="J75" s="776"/>
      <c r="K75" s="776"/>
      <c r="L75" s="776"/>
      <c r="M75" s="776"/>
      <c r="N75" s="776"/>
      <c r="O75" s="776"/>
      <c r="P75" s="776"/>
      <c r="Q75" s="776"/>
      <c r="R75" s="367">
        <f>SUM(E75:Q75)</f>
        <v>154850</v>
      </c>
      <c r="S75" s="1200"/>
      <c r="T75" s="1200"/>
      <c r="U75" s="1199"/>
    </row>
    <row r="76" spans="1:21" s="84" customFormat="1">
      <c r="A76" s="929" t="s">
        <v>1796</v>
      </c>
      <c r="B76" s="216">
        <f>SUM(C76+D76)</f>
        <v>0</v>
      </c>
      <c r="C76" s="776"/>
      <c r="D76" s="776"/>
      <c r="E76" s="776"/>
      <c r="F76" s="776"/>
      <c r="G76" s="776"/>
      <c r="H76" s="776"/>
      <c r="I76" s="776"/>
      <c r="J76" s="776"/>
      <c r="K76" s="776"/>
      <c r="L76" s="776"/>
      <c r="M76" s="776"/>
      <c r="N76" s="776"/>
      <c r="O76" s="776"/>
      <c r="P76" s="776"/>
      <c r="Q76" s="776"/>
      <c r="R76" s="367">
        <f>SUM(E76:Q76)</f>
        <v>0</v>
      </c>
      <c r="S76" s="1200"/>
      <c r="T76" s="1200"/>
      <c r="U76" s="1199"/>
    </row>
    <row r="77" spans="1:21" s="84" customFormat="1">
      <c r="A77" s="85" t="s">
        <v>1833</v>
      </c>
      <c r="B77" s="216">
        <f>SUM(C77:D77)</f>
        <v>154850</v>
      </c>
      <c r="C77" s="216">
        <f>SUM(C72:C76)</f>
        <v>154850</v>
      </c>
      <c r="D77" s="216">
        <f>SUM(D72:D76)</f>
        <v>0</v>
      </c>
      <c r="E77" s="216">
        <f t="shared" ref="E77:Q77" si="19">SUM(E72:E76)</f>
        <v>154850</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216">
        <f>SUM(R72:R76)</f>
        <v>154850</v>
      </c>
      <c r="S77" s="1200"/>
      <c r="T77" s="1200"/>
      <c r="U77" s="1199"/>
    </row>
    <row r="78" spans="1:21" s="84" customFormat="1" ht="12">
      <c r="A78" s="83" t="s">
        <v>1834</v>
      </c>
      <c r="B78" s="217"/>
      <c r="C78" s="217"/>
      <c r="D78" s="217"/>
      <c r="E78" s="217"/>
      <c r="F78" s="217"/>
      <c r="G78" s="217"/>
      <c r="H78" s="217"/>
      <c r="I78" s="217"/>
      <c r="J78" s="217"/>
      <c r="K78" s="217"/>
      <c r="L78" s="217"/>
      <c r="M78" s="217"/>
      <c r="N78" s="217"/>
      <c r="O78" s="217"/>
      <c r="P78" s="217"/>
      <c r="Q78" s="217"/>
      <c r="R78" s="217"/>
      <c r="S78" s="217"/>
      <c r="T78" s="217"/>
      <c r="U78" s="1199"/>
    </row>
    <row r="79" spans="1:21" s="84" customFormat="1">
      <c r="A79" s="170" t="s">
        <v>1835</v>
      </c>
      <c r="B79" s="216">
        <f>SUM(C79:D79)</f>
        <v>1845274</v>
      </c>
      <c r="C79" s="776">
        <v>1845274</v>
      </c>
      <c r="D79" s="776"/>
      <c r="E79" s="776">
        <f>+C79</f>
        <v>1845274</v>
      </c>
      <c r="F79" s="776"/>
      <c r="G79" s="776"/>
      <c r="H79" s="776"/>
      <c r="I79" s="776"/>
      <c r="J79" s="776"/>
      <c r="K79" s="776"/>
      <c r="L79" s="776"/>
      <c r="M79" s="776"/>
      <c r="N79" s="776"/>
      <c r="O79" s="776"/>
      <c r="P79" s="776"/>
      <c r="Q79" s="776"/>
      <c r="R79" s="367">
        <f>SUM(E79:Q79)</f>
        <v>1845274</v>
      </c>
      <c r="S79" s="776">
        <f>+R79</f>
        <v>1845274</v>
      </c>
      <c r="T79" s="776"/>
      <c r="U79" s="1199"/>
    </row>
    <row r="80" spans="1:21" s="84" customFormat="1">
      <c r="A80" s="170" t="s">
        <v>1836</v>
      </c>
      <c r="B80" s="216">
        <f>SUM(C80:D80)</f>
        <v>127321</v>
      </c>
      <c r="C80" s="776">
        <v>127321</v>
      </c>
      <c r="D80" s="776"/>
      <c r="E80" s="776">
        <f>+C80</f>
        <v>127321</v>
      </c>
      <c r="F80" s="776"/>
      <c r="G80" s="776"/>
      <c r="H80" s="776"/>
      <c r="I80" s="776"/>
      <c r="J80" s="776"/>
      <c r="K80" s="776"/>
      <c r="L80" s="776"/>
      <c r="M80" s="776"/>
      <c r="N80" s="776"/>
      <c r="O80" s="776"/>
      <c r="P80" s="776"/>
      <c r="Q80" s="776"/>
      <c r="R80" s="367">
        <f>SUM(E80:Q80)</f>
        <v>127321</v>
      </c>
      <c r="S80" s="776">
        <f>+R80</f>
        <v>127321</v>
      </c>
      <c r="T80" s="776"/>
      <c r="U80" s="1199"/>
    </row>
    <row r="81" spans="1:21" s="84" customFormat="1">
      <c r="A81" s="85" t="s">
        <v>1837</v>
      </c>
      <c r="B81" s="216">
        <f>SUM(C81:D81)</f>
        <v>1972595</v>
      </c>
      <c r="C81" s="1206">
        <f>SUM(C79:C80)</f>
        <v>1972595</v>
      </c>
      <c r="D81" s="1206">
        <f t="shared" ref="D81:T81" si="20">SUM(D79:D80)</f>
        <v>0</v>
      </c>
      <c r="E81" s="1206">
        <f t="shared" si="20"/>
        <v>1972595</v>
      </c>
      <c r="F81" s="1206">
        <f t="shared" si="20"/>
        <v>0</v>
      </c>
      <c r="G81" s="1206">
        <f t="shared" si="20"/>
        <v>0</v>
      </c>
      <c r="H81" s="1206">
        <f t="shared" si="20"/>
        <v>0</v>
      </c>
      <c r="I81" s="1206">
        <f t="shared" si="20"/>
        <v>0</v>
      </c>
      <c r="J81" s="1206">
        <f t="shared" si="20"/>
        <v>0</v>
      </c>
      <c r="K81" s="1206">
        <f t="shared" si="20"/>
        <v>0</v>
      </c>
      <c r="L81" s="1206">
        <f t="shared" si="20"/>
        <v>0</v>
      </c>
      <c r="M81" s="1206">
        <f t="shared" si="20"/>
        <v>0</v>
      </c>
      <c r="N81" s="1206">
        <f t="shared" si="20"/>
        <v>0</v>
      </c>
      <c r="O81" s="1206">
        <f t="shared" si="20"/>
        <v>0</v>
      </c>
      <c r="P81" s="1206">
        <f t="shared" si="20"/>
        <v>0</v>
      </c>
      <c r="Q81" s="1206">
        <f t="shared" si="20"/>
        <v>0</v>
      </c>
      <c r="R81" s="1206">
        <f t="shared" si="20"/>
        <v>1972595</v>
      </c>
      <c r="S81" s="1206">
        <f t="shared" si="20"/>
        <v>1972595</v>
      </c>
      <c r="T81" s="1206">
        <f t="shared" si="20"/>
        <v>0</v>
      </c>
      <c r="U81" s="1199"/>
    </row>
    <row r="82" spans="1:21" s="84" customFormat="1" ht="12">
      <c r="A82" s="83" t="s">
        <v>1838</v>
      </c>
      <c r="B82" s="217"/>
      <c r="C82" s="217"/>
      <c r="D82" s="217"/>
      <c r="E82" s="217"/>
      <c r="F82" s="217"/>
      <c r="G82" s="217"/>
      <c r="H82" s="217"/>
      <c r="I82" s="217"/>
      <c r="J82" s="217"/>
      <c r="K82" s="217"/>
      <c r="L82" s="217"/>
      <c r="M82" s="217"/>
      <c r="N82" s="217"/>
      <c r="O82" s="217"/>
      <c r="P82" s="217"/>
      <c r="Q82" s="217"/>
      <c r="R82" s="217"/>
      <c r="S82" s="217"/>
      <c r="T82" s="217"/>
      <c r="U82" s="1199"/>
    </row>
    <row r="83" spans="1:21" s="84" customFormat="1" ht="13.75" customHeight="1">
      <c r="A83" s="170" t="s">
        <v>1839</v>
      </c>
      <c r="B83" s="216">
        <f t="shared" ref="B83:B95" si="21">SUM(C83+D83)</f>
        <v>71456</v>
      </c>
      <c r="C83" s="776">
        <v>71456</v>
      </c>
      <c r="D83" s="776"/>
      <c r="E83" s="776">
        <f>+C83</f>
        <v>71456</v>
      </c>
      <c r="F83" s="776"/>
      <c r="G83" s="776"/>
      <c r="H83" s="776"/>
      <c r="I83" s="776"/>
      <c r="J83" s="776"/>
      <c r="K83" s="776"/>
      <c r="L83" s="776"/>
      <c r="M83" s="776"/>
      <c r="N83" s="776"/>
      <c r="O83" s="776"/>
      <c r="P83" s="776"/>
      <c r="Q83" s="776"/>
      <c r="R83" s="367">
        <f t="shared" ref="R83:R95" si="22">SUM(E83:Q83)</f>
        <v>71456</v>
      </c>
      <c r="S83" s="1200"/>
      <c r="T83" s="1200"/>
      <c r="U83" s="1199"/>
    </row>
    <row r="84" spans="1:21" s="84" customFormat="1">
      <c r="A84" s="170" t="s">
        <v>1840</v>
      </c>
      <c r="B84" s="216">
        <f t="shared" si="21"/>
        <v>50000</v>
      </c>
      <c r="C84" s="776">
        <v>50000</v>
      </c>
      <c r="D84" s="776"/>
      <c r="E84" s="776">
        <f>+C84</f>
        <v>50000</v>
      </c>
      <c r="F84" s="776"/>
      <c r="G84" s="776"/>
      <c r="H84" s="776"/>
      <c r="I84" s="776"/>
      <c r="J84" s="776"/>
      <c r="K84" s="776"/>
      <c r="L84" s="776"/>
      <c r="M84" s="776"/>
      <c r="N84" s="776"/>
      <c r="O84" s="776"/>
      <c r="P84" s="776"/>
      <c r="Q84" s="776"/>
      <c r="R84" s="367">
        <f t="shared" si="22"/>
        <v>50000</v>
      </c>
      <c r="S84" s="776">
        <f>+R84</f>
        <v>50000</v>
      </c>
      <c r="T84" s="776"/>
      <c r="U84" s="1199"/>
    </row>
    <row r="85" spans="1:21" s="84" customFormat="1">
      <c r="A85" s="170" t="s">
        <v>1841</v>
      </c>
      <c r="B85" s="216">
        <f t="shared" si="21"/>
        <v>809809</v>
      </c>
      <c r="C85" s="776">
        <v>809809</v>
      </c>
      <c r="D85" s="776"/>
      <c r="E85" s="776">
        <f>+C85</f>
        <v>809809</v>
      </c>
      <c r="F85" s="776"/>
      <c r="G85" s="776"/>
      <c r="H85" s="776"/>
      <c r="I85" s="776"/>
      <c r="J85" s="776"/>
      <c r="K85" s="776"/>
      <c r="L85" s="776"/>
      <c r="M85" s="776"/>
      <c r="N85" s="776"/>
      <c r="O85" s="776"/>
      <c r="P85" s="776"/>
      <c r="Q85" s="776"/>
      <c r="R85" s="367">
        <f t="shared" si="22"/>
        <v>809809</v>
      </c>
      <c r="S85" s="776">
        <f>+R85</f>
        <v>809809</v>
      </c>
      <c r="T85" s="776"/>
      <c r="U85" s="1199"/>
    </row>
    <row r="86" spans="1:21" s="84" customFormat="1">
      <c r="A86" s="170" t="s">
        <v>1842</v>
      </c>
      <c r="B86" s="216">
        <f t="shared" si="21"/>
        <v>200000</v>
      </c>
      <c r="C86" s="776">
        <v>200000</v>
      </c>
      <c r="D86" s="776"/>
      <c r="E86" s="776">
        <f>+C86</f>
        <v>200000</v>
      </c>
      <c r="F86" s="776"/>
      <c r="G86" s="776"/>
      <c r="H86" s="776"/>
      <c r="I86" s="776"/>
      <c r="J86" s="776"/>
      <c r="K86" s="776"/>
      <c r="L86" s="776"/>
      <c r="M86" s="776"/>
      <c r="N86" s="776"/>
      <c r="O86" s="776"/>
      <c r="P86" s="776"/>
      <c r="Q86" s="776"/>
      <c r="R86" s="367">
        <f t="shared" si="22"/>
        <v>200000</v>
      </c>
      <c r="S86" s="776">
        <f>+R86</f>
        <v>200000</v>
      </c>
      <c r="T86" s="776"/>
      <c r="U86" s="1199"/>
    </row>
    <row r="87" spans="1:21" s="84" customFormat="1">
      <c r="A87" s="170" t="s">
        <v>1843</v>
      </c>
      <c r="B87" s="216">
        <f t="shared" si="21"/>
        <v>0</v>
      </c>
      <c r="C87" s="776"/>
      <c r="D87" s="776"/>
      <c r="E87" s="776"/>
      <c r="F87" s="776"/>
      <c r="G87" s="776"/>
      <c r="H87" s="776"/>
      <c r="I87" s="776"/>
      <c r="J87" s="776"/>
      <c r="K87" s="776"/>
      <c r="L87" s="776"/>
      <c r="M87" s="776"/>
      <c r="N87" s="776"/>
      <c r="O87" s="776"/>
      <c r="P87" s="776"/>
      <c r="Q87" s="776"/>
      <c r="R87" s="367">
        <f t="shared" si="22"/>
        <v>0</v>
      </c>
      <c r="S87" s="776"/>
      <c r="T87" s="776"/>
      <c r="U87" s="1199"/>
    </row>
    <row r="88" spans="1:21" s="84" customFormat="1">
      <c r="A88" s="170" t="s">
        <v>1844</v>
      </c>
      <c r="B88" s="216">
        <f t="shared" si="21"/>
        <v>40000</v>
      </c>
      <c r="C88" s="776">
        <v>40000</v>
      </c>
      <c r="D88" s="776"/>
      <c r="E88" s="776">
        <f>+C88</f>
        <v>40000</v>
      </c>
      <c r="F88" s="776"/>
      <c r="G88" s="776"/>
      <c r="H88" s="776"/>
      <c r="I88" s="776"/>
      <c r="J88" s="776"/>
      <c r="K88" s="776"/>
      <c r="L88" s="776"/>
      <c r="M88" s="776"/>
      <c r="N88" s="776"/>
      <c r="O88" s="776"/>
      <c r="P88" s="776"/>
      <c r="Q88" s="776"/>
      <c r="R88" s="367">
        <f t="shared" si="22"/>
        <v>40000</v>
      </c>
      <c r="S88" s="1200"/>
      <c r="T88" s="1200"/>
      <c r="U88" s="1199"/>
    </row>
    <row r="89" spans="1:21" s="84" customFormat="1">
      <c r="A89" s="170" t="s">
        <v>1845</v>
      </c>
      <c r="B89" s="216">
        <f t="shared" si="21"/>
        <v>45000</v>
      </c>
      <c r="C89" s="776">
        <v>45000</v>
      </c>
      <c r="D89" s="776"/>
      <c r="E89" s="776">
        <f>+C89</f>
        <v>45000</v>
      </c>
      <c r="F89" s="776"/>
      <c r="G89" s="776"/>
      <c r="H89" s="776"/>
      <c r="I89" s="776"/>
      <c r="J89" s="776"/>
      <c r="K89" s="776"/>
      <c r="L89" s="776"/>
      <c r="M89" s="776"/>
      <c r="N89" s="776"/>
      <c r="O89" s="776"/>
      <c r="P89" s="776"/>
      <c r="Q89" s="776"/>
      <c r="R89" s="367">
        <f t="shared" si="22"/>
        <v>45000</v>
      </c>
      <c r="S89" s="776">
        <f>+R89</f>
        <v>45000</v>
      </c>
      <c r="T89" s="776"/>
      <c r="U89" s="1199"/>
    </row>
    <row r="90" spans="1:21" s="84" customFormat="1">
      <c r="A90" s="170" t="s">
        <v>1846</v>
      </c>
      <c r="B90" s="216">
        <f t="shared" si="21"/>
        <v>10000</v>
      </c>
      <c r="C90" s="776">
        <v>10000</v>
      </c>
      <c r="D90" s="776"/>
      <c r="E90" s="776">
        <f>+C90</f>
        <v>10000</v>
      </c>
      <c r="F90" s="776"/>
      <c r="G90" s="776"/>
      <c r="H90" s="776"/>
      <c r="I90" s="776"/>
      <c r="J90" s="776"/>
      <c r="K90" s="776"/>
      <c r="L90" s="776"/>
      <c r="M90" s="776"/>
      <c r="N90" s="776"/>
      <c r="O90" s="776"/>
      <c r="P90" s="776"/>
      <c r="Q90" s="776"/>
      <c r="R90" s="367">
        <f t="shared" si="22"/>
        <v>10000</v>
      </c>
      <c r="S90" s="776"/>
      <c r="T90" s="776"/>
      <c r="U90" s="1199"/>
    </row>
    <row r="91" spans="1:21" s="84" customFormat="1">
      <c r="A91" s="170" t="s">
        <v>1847</v>
      </c>
      <c r="B91" s="216">
        <f t="shared" si="21"/>
        <v>0</v>
      </c>
      <c r="C91" s="776"/>
      <c r="D91" s="776"/>
      <c r="E91" s="776"/>
      <c r="F91" s="776"/>
      <c r="G91" s="776"/>
      <c r="H91" s="776"/>
      <c r="I91" s="776"/>
      <c r="J91" s="776"/>
      <c r="K91" s="776"/>
      <c r="L91" s="776"/>
      <c r="M91" s="776"/>
      <c r="N91" s="776"/>
      <c r="O91" s="776"/>
      <c r="P91" s="776"/>
      <c r="Q91" s="776"/>
      <c r="R91" s="367">
        <f t="shared" si="22"/>
        <v>0</v>
      </c>
      <c r="S91" s="776"/>
      <c r="T91" s="776"/>
      <c r="U91" s="1199"/>
    </row>
    <row r="92" spans="1:21" s="84" customFormat="1">
      <c r="A92" s="170" t="s">
        <v>1848</v>
      </c>
      <c r="B92" s="216">
        <f t="shared" si="21"/>
        <v>10000</v>
      </c>
      <c r="C92" s="776">
        <v>10000</v>
      </c>
      <c r="D92" s="776"/>
      <c r="E92" s="776">
        <f>+C92</f>
        <v>10000</v>
      </c>
      <c r="F92" s="776"/>
      <c r="G92" s="776"/>
      <c r="H92" s="776"/>
      <c r="I92" s="776"/>
      <c r="J92" s="776"/>
      <c r="K92" s="776"/>
      <c r="L92" s="776"/>
      <c r="M92" s="776"/>
      <c r="N92" s="776"/>
      <c r="O92" s="776"/>
      <c r="P92" s="776"/>
      <c r="Q92" s="776"/>
      <c r="R92" s="367">
        <f t="shared" si="22"/>
        <v>10000</v>
      </c>
      <c r="S92" s="776">
        <v>10000</v>
      </c>
      <c r="T92" s="776"/>
      <c r="U92" s="1199"/>
    </row>
    <row r="93" spans="1:21" s="84" customFormat="1">
      <c r="A93" s="929" t="s">
        <v>1849</v>
      </c>
      <c r="B93" s="216">
        <f t="shared" si="21"/>
        <v>50000</v>
      </c>
      <c r="C93" s="776">
        <v>50000</v>
      </c>
      <c r="D93" s="776"/>
      <c r="E93" s="776">
        <f>+C93</f>
        <v>50000</v>
      </c>
      <c r="F93" s="776"/>
      <c r="G93" s="776"/>
      <c r="H93" s="776"/>
      <c r="I93" s="776"/>
      <c r="J93" s="776"/>
      <c r="K93" s="776"/>
      <c r="L93" s="776"/>
      <c r="M93" s="776"/>
      <c r="N93" s="776"/>
      <c r="O93" s="776"/>
      <c r="P93" s="776"/>
      <c r="Q93" s="776"/>
      <c r="R93" s="367">
        <f t="shared" si="22"/>
        <v>50000</v>
      </c>
      <c r="S93" s="776">
        <f>+R93</f>
        <v>50000</v>
      </c>
      <c r="T93" s="776"/>
      <c r="U93" s="1199"/>
    </row>
    <row r="94" spans="1:21" s="84" customFormat="1">
      <c r="A94" s="929" t="s">
        <v>1796</v>
      </c>
      <c r="B94" s="216">
        <f t="shared" si="21"/>
        <v>0</v>
      </c>
      <c r="C94" s="776"/>
      <c r="D94" s="776"/>
      <c r="E94" s="776"/>
      <c r="F94" s="776"/>
      <c r="G94" s="776"/>
      <c r="H94" s="776"/>
      <c r="I94" s="776"/>
      <c r="J94" s="776"/>
      <c r="K94" s="776"/>
      <c r="L94" s="776"/>
      <c r="M94" s="776"/>
      <c r="N94" s="776"/>
      <c r="O94" s="776"/>
      <c r="P94" s="776"/>
      <c r="Q94" s="776"/>
      <c r="R94" s="367">
        <f t="shared" si="22"/>
        <v>0</v>
      </c>
      <c r="S94" s="776"/>
      <c r="T94" s="776"/>
      <c r="U94" s="1199"/>
    </row>
    <row r="95" spans="1:21" s="84" customFormat="1">
      <c r="A95" s="929" t="s">
        <v>1796</v>
      </c>
      <c r="B95" s="216">
        <f t="shared" si="21"/>
        <v>0</v>
      </c>
      <c r="C95" s="776"/>
      <c r="D95" s="776"/>
      <c r="E95" s="776"/>
      <c r="F95" s="776"/>
      <c r="G95" s="776"/>
      <c r="H95" s="776"/>
      <c r="I95" s="776"/>
      <c r="J95" s="776"/>
      <c r="K95" s="776"/>
      <c r="L95" s="776"/>
      <c r="M95" s="776"/>
      <c r="N95" s="776"/>
      <c r="O95" s="776"/>
      <c r="P95" s="776"/>
      <c r="Q95" s="776"/>
      <c r="R95" s="367">
        <f t="shared" si="22"/>
        <v>0</v>
      </c>
      <c r="S95" s="776"/>
      <c r="T95" s="776"/>
      <c r="U95" s="1199"/>
    </row>
    <row r="96" spans="1:21" s="84" customFormat="1">
      <c r="A96" s="85" t="s">
        <v>1850</v>
      </c>
      <c r="B96" s="216">
        <f>SUM(C96:D96)</f>
        <v>1286265</v>
      </c>
      <c r="C96" s="216">
        <f t="shared" ref="C96:R96" si="23">SUM(C83:C95)</f>
        <v>1286265</v>
      </c>
      <c r="D96" s="216">
        <f t="shared" si="23"/>
        <v>0</v>
      </c>
      <c r="E96" s="216">
        <f t="shared" si="23"/>
        <v>1286265</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216">
        <f t="shared" si="23"/>
        <v>1286265</v>
      </c>
      <c r="S96" s="86">
        <f>SUM(S84:S87,S89:S95)</f>
        <v>1164809</v>
      </c>
      <c r="T96" s="216">
        <f>SUM(T84:T87,T89:T95)</f>
        <v>0</v>
      </c>
      <c r="U96" s="1199"/>
    </row>
    <row r="97" spans="1:21" s="84" customFormat="1">
      <c r="A97" s="85" t="s">
        <v>1851</v>
      </c>
      <c r="B97" s="216">
        <f>SUM(C97:D97)</f>
        <v>33886061</v>
      </c>
      <c r="C97" s="216">
        <f t="shared" ref="C97:R97" si="24">SUM(C63+C70+C77+C81+C96)</f>
        <v>33886061</v>
      </c>
      <c r="D97" s="216">
        <f t="shared" si="24"/>
        <v>0</v>
      </c>
      <c r="E97" s="216">
        <f t="shared" si="24"/>
        <v>11376138</v>
      </c>
      <c r="F97" s="216">
        <f t="shared" si="24"/>
        <v>1115000</v>
      </c>
      <c r="G97" s="216">
        <f t="shared" si="24"/>
        <v>1369665</v>
      </c>
      <c r="H97" s="216">
        <f t="shared" si="24"/>
        <v>41392</v>
      </c>
      <c r="I97" s="216">
        <f t="shared" si="24"/>
        <v>5713291</v>
      </c>
      <c r="J97" s="216">
        <f t="shared" si="24"/>
        <v>11250000</v>
      </c>
      <c r="K97" s="216">
        <f t="shared" si="24"/>
        <v>1732699</v>
      </c>
      <c r="L97" s="216">
        <f t="shared" si="24"/>
        <v>0</v>
      </c>
      <c r="M97" s="216">
        <f t="shared" si="24"/>
        <v>312083</v>
      </c>
      <c r="N97" s="216">
        <f t="shared" si="24"/>
        <v>975793</v>
      </c>
      <c r="O97" s="216">
        <f t="shared" si="24"/>
        <v>0</v>
      </c>
      <c r="P97" s="216">
        <f t="shared" si="24"/>
        <v>0</v>
      </c>
      <c r="Q97" s="216">
        <f t="shared" si="24"/>
        <v>0</v>
      </c>
      <c r="R97" s="216">
        <f t="shared" si="24"/>
        <v>33886061</v>
      </c>
      <c r="S97" s="216">
        <f>SUM(S63+S70+S81+S96)</f>
        <v>31426800</v>
      </c>
      <c r="T97" s="216">
        <f>SUM(T63+T70+T81+T96)</f>
        <v>0</v>
      </c>
      <c r="U97" s="1199"/>
    </row>
    <row r="98" spans="1:21" s="84" customFormat="1" ht="12">
      <c r="A98" s="83" t="s">
        <v>1852</v>
      </c>
      <c r="B98" s="217"/>
      <c r="C98" s="217"/>
      <c r="D98" s="217"/>
      <c r="E98" s="217"/>
      <c r="F98" s="217"/>
      <c r="G98" s="217"/>
      <c r="H98" s="217"/>
      <c r="I98" s="217"/>
      <c r="J98" s="217"/>
      <c r="K98" s="217"/>
      <c r="L98" s="217"/>
      <c r="M98" s="217"/>
      <c r="N98" s="217"/>
      <c r="O98" s="217"/>
      <c r="P98" s="217"/>
      <c r="Q98" s="217"/>
      <c r="R98" s="217"/>
      <c r="S98" s="217"/>
      <c r="T98" s="217"/>
      <c r="U98" s="1199"/>
    </row>
    <row r="99" spans="1:21" s="84" customFormat="1">
      <c r="A99" s="170" t="s">
        <v>1853</v>
      </c>
      <c r="B99" s="216">
        <f>SUM(C99+D99)</f>
        <v>4714020</v>
      </c>
      <c r="C99" s="776">
        <v>4714020</v>
      </c>
      <c r="D99" s="776"/>
      <c r="E99" s="776">
        <f>+C99-L99</f>
        <v>2200000</v>
      </c>
      <c r="F99" s="776"/>
      <c r="G99" s="776"/>
      <c r="H99" s="776"/>
      <c r="I99" s="776"/>
      <c r="J99" s="776"/>
      <c r="K99" s="776"/>
      <c r="L99" s="776">
        <f>+L108</f>
        <v>2514020</v>
      </c>
      <c r="M99" s="776"/>
      <c r="N99" s="776"/>
      <c r="O99" s="776"/>
      <c r="P99" s="776"/>
      <c r="Q99" s="776"/>
      <c r="R99" s="367">
        <f>SUM(E99:Q99)</f>
        <v>4714020</v>
      </c>
      <c r="S99" s="776">
        <f>+R99</f>
        <v>4714020</v>
      </c>
      <c r="T99" s="776"/>
      <c r="U99" s="1199"/>
    </row>
    <row r="100" spans="1:21" s="84" customFormat="1">
      <c r="A100" s="170" t="s">
        <v>1854</v>
      </c>
      <c r="B100" s="216">
        <f>SUM(C100+D100)</f>
        <v>0</v>
      </c>
      <c r="C100" s="776"/>
      <c r="D100" s="776"/>
      <c r="E100" s="776"/>
      <c r="F100" s="776"/>
      <c r="G100" s="776"/>
      <c r="H100" s="776"/>
      <c r="I100" s="776"/>
      <c r="J100" s="776"/>
      <c r="K100" s="776"/>
      <c r="L100" s="776"/>
      <c r="M100" s="776"/>
      <c r="N100" s="776"/>
      <c r="O100" s="776"/>
      <c r="P100" s="776"/>
      <c r="Q100" s="776"/>
      <c r="R100" s="367">
        <f>SUM(E100:Q100)</f>
        <v>0</v>
      </c>
      <c r="S100" s="776"/>
      <c r="T100" s="776"/>
      <c r="U100" s="1199"/>
    </row>
    <row r="101" spans="1:21" s="84" customFormat="1" ht="12" customHeight="1">
      <c r="A101" s="170" t="s">
        <v>1855</v>
      </c>
      <c r="B101" s="216">
        <f>SUM(C101+D101)</f>
        <v>0</v>
      </c>
      <c r="C101" s="776"/>
      <c r="D101" s="776"/>
      <c r="E101" s="776"/>
      <c r="F101" s="776"/>
      <c r="G101" s="776"/>
      <c r="H101" s="776"/>
      <c r="I101" s="776"/>
      <c r="J101" s="776"/>
      <c r="K101" s="776"/>
      <c r="L101" s="776"/>
      <c r="M101" s="776"/>
      <c r="N101" s="776"/>
      <c r="O101" s="776"/>
      <c r="P101" s="776"/>
      <c r="Q101" s="776"/>
      <c r="R101" s="367">
        <f>SUM(E101:Q101)</f>
        <v>0</v>
      </c>
      <c r="S101" s="776"/>
      <c r="T101" s="776"/>
      <c r="U101" s="1199"/>
    </row>
    <row r="102" spans="1:21" s="84" customFormat="1">
      <c r="A102" s="170" t="s">
        <v>1856</v>
      </c>
      <c r="B102" s="216">
        <f>SUM(C102+D102)</f>
        <v>0</v>
      </c>
      <c r="C102" s="776"/>
      <c r="D102" s="776"/>
      <c r="E102" s="776"/>
      <c r="F102" s="776"/>
      <c r="G102" s="776"/>
      <c r="H102" s="776"/>
      <c r="I102" s="776"/>
      <c r="J102" s="776"/>
      <c r="K102" s="776"/>
      <c r="L102" s="776"/>
      <c r="M102" s="776"/>
      <c r="N102" s="776"/>
      <c r="O102" s="776"/>
      <c r="P102" s="776"/>
      <c r="Q102" s="776"/>
      <c r="R102" s="367">
        <f>SUM(E102:Q102)</f>
        <v>0</v>
      </c>
      <c r="S102" s="776"/>
      <c r="T102" s="776"/>
      <c r="U102" s="1199"/>
    </row>
    <row r="103" spans="1:21" s="84" customFormat="1">
      <c r="A103" s="929" t="s">
        <v>1796</v>
      </c>
      <c r="B103" s="216">
        <f>SUM(C103+D103)</f>
        <v>0</v>
      </c>
      <c r="C103" s="776"/>
      <c r="D103" s="776"/>
      <c r="E103" s="776"/>
      <c r="F103" s="776"/>
      <c r="G103" s="776"/>
      <c r="H103" s="776"/>
      <c r="I103" s="776"/>
      <c r="J103" s="776"/>
      <c r="K103" s="776"/>
      <c r="L103" s="776"/>
      <c r="M103" s="776"/>
      <c r="N103" s="776"/>
      <c r="O103" s="776"/>
      <c r="P103" s="776"/>
      <c r="Q103" s="776"/>
      <c r="R103" s="367">
        <f>SUM(E103:Q103)</f>
        <v>0</v>
      </c>
      <c r="S103" s="776"/>
      <c r="T103" s="776"/>
      <c r="U103" s="1199"/>
    </row>
    <row r="104" spans="1:21" s="84" customFormat="1">
      <c r="A104" s="85" t="s">
        <v>1857</v>
      </c>
      <c r="B104" s="216">
        <f>SUM(C104:D104)</f>
        <v>4714020</v>
      </c>
      <c r="C104" s="216">
        <f>SUM(C99:C103)</f>
        <v>4714020</v>
      </c>
      <c r="D104" s="216">
        <f t="shared" ref="D104:T104" si="25">SUM(D99:D103)</f>
        <v>0</v>
      </c>
      <c r="E104" s="216">
        <f t="shared" si="25"/>
        <v>2200000</v>
      </c>
      <c r="F104" s="216">
        <f t="shared" si="25"/>
        <v>0</v>
      </c>
      <c r="G104" s="216">
        <f t="shared" si="25"/>
        <v>0</v>
      </c>
      <c r="H104" s="216">
        <f t="shared" si="25"/>
        <v>0</v>
      </c>
      <c r="I104" s="216">
        <f t="shared" si="25"/>
        <v>0</v>
      </c>
      <c r="J104" s="216">
        <f t="shared" si="25"/>
        <v>0</v>
      </c>
      <c r="K104" s="216">
        <f t="shared" si="25"/>
        <v>0</v>
      </c>
      <c r="L104" s="216">
        <f t="shared" si="25"/>
        <v>2514020</v>
      </c>
      <c r="M104" s="216">
        <f t="shared" si="25"/>
        <v>0</v>
      </c>
      <c r="N104" s="216">
        <f t="shared" si="25"/>
        <v>0</v>
      </c>
      <c r="O104" s="216">
        <f t="shared" si="25"/>
        <v>0</v>
      </c>
      <c r="P104" s="216">
        <f t="shared" si="25"/>
        <v>0</v>
      </c>
      <c r="Q104" s="216">
        <f t="shared" si="25"/>
        <v>0</v>
      </c>
      <c r="R104" s="216">
        <f t="shared" si="25"/>
        <v>4714020</v>
      </c>
      <c r="S104" s="86">
        <f t="shared" si="25"/>
        <v>4714020</v>
      </c>
      <c r="T104" s="86">
        <f t="shared" si="25"/>
        <v>0</v>
      </c>
      <c r="U104" s="1199"/>
    </row>
    <row r="105" spans="1:21" s="84" customFormat="1">
      <c r="A105" s="85" t="s">
        <v>1858</v>
      </c>
      <c r="B105" s="86">
        <f>SUM(C105:D105)</f>
        <v>38600081</v>
      </c>
      <c r="C105" s="86">
        <f t="shared" ref="C105:R105" si="26">SUM(C97+C104)</f>
        <v>38600081</v>
      </c>
      <c r="D105" s="86">
        <f t="shared" si="26"/>
        <v>0</v>
      </c>
      <c r="E105" s="86">
        <f t="shared" si="26"/>
        <v>13576138</v>
      </c>
      <c r="F105" s="86">
        <f t="shared" si="26"/>
        <v>1115000</v>
      </c>
      <c r="G105" s="86">
        <f t="shared" si="26"/>
        <v>1369665</v>
      </c>
      <c r="H105" s="86">
        <f t="shared" si="26"/>
        <v>41392</v>
      </c>
      <c r="I105" s="86">
        <f t="shared" si="26"/>
        <v>5713291</v>
      </c>
      <c r="J105" s="86">
        <f t="shared" si="26"/>
        <v>11250000</v>
      </c>
      <c r="K105" s="86">
        <f t="shared" si="26"/>
        <v>1732699</v>
      </c>
      <c r="L105" s="86">
        <f t="shared" si="26"/>
        <v>2514020</v>
      </c>
      <c r="M105" s="86">
        <f t="shared" si="26"/>
        <v>312083</v>
      </c>
      <c r="N105" s="86">
        <f t="shared" si="26"/>
        <v>975793</v>
      </c>
      <c r="O105" s="86">
        <f t="shared" si="26"/>
        <v>0</v>
      </c>
      <c r="P105" s="86">
        <f t="shared" si="26"/>
        <v>0</v>
      </c>
      <c r="Q105" s="86">
        <f t="shared" si="26"/>
        <v>0</v>
      </c>
      <c r="R105" s="216">
        <f t="shared" si="26"/>
        <v>38600081</v>
      </c>
      <c r="S105" s="86">
        <f>S97+S104</f>
        <v>36140820</v>
      </c>
      <c r="T105" s="86">
        <f>T97+T104</f>
        <v>0</v>
      </c>
      <c r="U105" s="1199"/>
    </row>
    <row r="106" spans="1:21">
      <c r="A106" s="365" t="s">
        <v>1859</v>
      </c>
      <c r="B106" s="1207"/>
      <c r="C106" s="1207"/>
      <c r="D106" s="1207"/>
      <c r="E106" s="1105"/>
      <c r="F106" s="1105"/>
      <c r="G106" s="1105"/>
      <c r="H106" s="203" t="s">
        <v>1860</v>
      </c>
      <c r="I106" s="203"/>
      <c r="J106" s="203"/>
      <c r="K106" s="1105"/>
      <c r="L106" s="1105"/>
      <c r="M106" s="1105"/>
      <c r="N106" s="1105"/>
      <c r="O106" s="1105"/>
      <c r="P106" s="1105"/>
      <c r="Q106" s="1105"/>
      <c r="R106" s="92" t="s">
        <v>1861</v>
      </c>
      <c r="S106" s="776"/>
      <c r="T106" s="776"/>
      <c r="U106" s="204"/>
    </row>
    <row r="107" spans="1:21">
      <c r="A107" s="1207" t="s">
        <v>1862</v>
      </c>
      <c r="B107" s="1105"/>
      <c r="C107" s="1207"/>
      <c r="D107" s="1207"/>
      <c r="E107" s="1105"/>
      <c r="F107" s="1105"/>
      <c r="G107" s="1105"/>
      <c r="H107" s="1105"/>
      <c r="I107" s="94" t="s">
        <v>1863</v>
      </c>
      <c r="J107" s="94"/>
      <c r="K107" s="1105"/>
      <c r="L107" s="1105"/>
      <c r="M107" s="1105"/>
      <c r="N107" s="1105"/>
      <c r="O107" s="1105"/>
      <c r="P107" s="1105"/>
      <c r="Q107" s="1105"/>
      <c r="R107" s="92" t="s">
        <v>1864</v>
      </c>
      <c r="S107" s="86">
        <f>S105+S106</f>
        <v>36140820</v>
      </c>
      <c r="T107" s="86">
        <f>T105+T106</f>
        <v>0</v>
      </c>
      <c r="U107" s="204"/>
    </row>
    <row r="108" spans="1:21" s="107" customFormat="1">
      <c r="A108" s="94" t="s">
        <v>1865</v>
      </c>
      <c r="B108" s="1207"/>
      <c r="C108" s="1207"/>
      <c r="D108" s="1207"/>
      <c r="E108" s="1208">
        <f>Application!AO640</f>
        <v>13576138</v>
      </c>
      <c r="F108" s="1208">
        <f>Application!AO627</f>
        <v>1115000</v>
      </c>
      <c r="G108" s="1208">
        <f>Application!AO628</f>
        <v>1369665</v>
      </c>
      <c r="H108" s="1208">
        <f>Application!AO629</f>
        <v>41392</v>
      </c>
      <c r="I108" s="1208">
        <f>Application!AO630</f>
        <v>5713291</v>
      </c>
      <c r="J108" s="1208">
        <f>Application!AO631</f>
        <v>11250000</v>
      </c>
      <c r="K108" s="1208">
        <f>Application!AO632</f>
        <v>1732699</v>
      </c>
      <c r="L108" s="1208">
        <f>Application!AO633</f>
        <v>2514020</v>
      </c>
      <c r="M108" s="1208">
        <f>Application!AO634</f>
        <v>312083</v>
      </c>
      <c r="N108" s="1208">
        <f>Application!AO635</f>
        <v>975793</v>
      </c>
      <c r="O108" s="1208">
        <f>Application!AO636</f>
        <v>0</v>
      </c>
      <c r="P108" s="1208">
        <f>Application!AO637</f>
        <v>0</v>
      </c>
      <c r="Q108" s="1208">
        <f>Application!AO638</f>
        <v>0</v>
      </c>
      <c r="R108" s="1105"/>
      <c r="S108" s="1105"/>
      <c r="T108" s="1105"/>
      <c r="U108" s="1209"/>
    </row>
    <row r="109" spans="1:21" ht="10.4" customHeight="1">
      <c r="A109" s="1207"/>
      <c r="B109" s="1207"/>
      <c r="C109" s="1207"/>
      <c r="D109" s="1207"/>
      <c r="E109" s="1105"/>
      <c r="F109" s="1105"/>
      <c r="G109" s="1105"/>
      <c r="H109" s="1105"/>
      <c r="I109" s="1105"/>
      <c r="J109" s="1105"/>
      <c r="K109" s="1105"/>
      <c r="L109" s="1105"/>
      <c r="M109" s="1105"/>
      <c r="N109" s="1105"/>
      <c r="O109" s="1105"/>
      <c r="P109" s="1105"/>
      <c r="Q109" s="1105"/>
      <c r="R109" s="1105"/>
      <c r="S109" s="1105"/>
      <c r="T109" s="1105"/>
      <c r="U109" s="204"/>
    </row>
    <row r="110" spans="1:21">
      <c r="A110" s="94" t="s">
        <v>1866</v>
      </c>
      <c r="B110" s="1207"/>
      <c r="C110" s="1207"/>
      <c r="D110" s="1207"/>
      <c r="E110" s="1105"/>
      <c r="F110" s="1105"/>
      <c r="G110" s="1105"/>
      <c r="H110" s="1105"/>
      <c r="I110" s="1105"/>
      <c r="J110" s="1105"/>
      <c r="K110" s="1105"/>
      <c r="L110" s="1105"/>
      <c r="M110" s="1105"/>
      <c r="N110" s="1105"/>
      <c r="O110" s="1105"/>
      <c r="P110" s="1105"/>
      <c r="Q110" s="1105"/>
      <c r="R110" s="1105"/>
      <c r="S110" s="1105"/>
      <c r="T110" s="1105"/>
      <c r="U110" s="204"/>
    </row>
    <row r="111" spans="1:21">
      <c r="A111" s="90" t="s">
        <v>1867</v>
      </c>
      <c r="B111" s="1207"/>
      <c r="C111" s="1207"/>
      <c r="D111" s="1207"/>
      <c r="E111" s="1105"/>
      <c r="F111" s="1105"/>
      <c r="G111" s="1105"/>
      <c r="H111" s="1105"/>
      <c r="I111" s="1105"/>
      <c r="J111" s="1105"/>
      <c r="K111" s="1105"/>
      <c r="L111" s="1105"/>
      <c r="M111" s="1105"/>
      <c r="N111" s="1105"/>
      <c r="O111" s="1105"/>
      <c r="P111" s="1105"/>
      <c r="Q111" s="1105"/>
      <c r="R111" s="1105"/>
      <c r="S111" s="1105"/>
      <c r="T111" s="1105"/>
      <c r="U111" s="204"/>
    </row>
    <row r="112" spans="1:21" ht="12" customHeight="1">
      <c r="A112" s="1059"/>
      <c r="B112" s="1207"/>
      <c r="C112" s="1207"/>
      <c r="D112" s="1207"/>
      <c r="E112" s="1105"/>
      <c r="F112" s="1105"/>
      <c r="G112" s="1105"/>
      <c r="H112" s="1105"/>
      <c r="I112" s="1105"/>
      <c r="J112" s="1105"/>
      <c r="K112" s="1105"/>
      <c r="L112" s="1105"/>
      <c r="M112" s="1105"/>
      <c r="N112" s="1105"/>
      <c r="O112" s="1105"/>
      <c r="P112" s="1105"/>
      <c r="Q112" s="1105"/>
      <c r="R112" s="1105"/>
      <c r="S112" s="1105"/>
      <c r="T112" s="1105"/>
      <c r="U112" s="204"/>
    </row>
    <row r="113" spans="1:21">
      <c r="A113" s="90" t="s">
        <v>1868</v>
      </c>
      <c r="B113" s="1207"/>
      <c r="C113" s="1207"/>
      <c r="D113" s="1207"/>
      <c r="E113" s="1105"/>
      <c r="F113" s="1105"/>
      <c r="G113" s="1105"/>
      <c r="H113" s="1105"/>
      <c r="I113" s="1105"/>
      <c r="J113" s="1105"/>
      <c r="K113" s="1105"/>
      <c r="L113" s="1105"/>
      <c r="M113" s="1105"/>
      <c r="N113" s="1105"/>
      <c r="O113" s="1105"/>
      <c r="P113" s="1105"/>
      <c r="Q113" s="1105"/>
      <c r="R113" s="1105"/>
      <c r="S113" s="1105"/>
      <c r="T113" s="1105"/>
      <c r="U113" s="204"/>
    </row>
    <row r="114" spans="1:21">
      <c r="A114" s="90" t="s">
        <v>1869</v>
      </c>
      <c r="B114" s="1207"/>
      <c r="C114" s="1207"/>
      <c r="D114" s="1207"/>
      <c r="E114" s="1105"/>
      <c r="F114" s="1105"/>
      <c r="G114" s="1105"/>
      <c r="H114" s="1105"/>
      <c r="I114" s="1105"/>
      <c r="J114" s="1105"/>
      <c r="K114" s="1105"/>
      <c r="L114" s="1105"/>
      <c r="M114" s="1105"/>
      <c r="N114" s="1105"/>
      <c r="O114" s="1105"/>
      <c r="P114" s="1105"/>
      <c r="Q114" s="1105"/>
      <c r="R114" s="1105"/>
      <c r="S114" s="1105"/>
      <c r="T114" s="1105"/>
      <c r="U114" s="204"/>
    </row>
    <row r="115" spans="1:21" ht="12" customHeight="1">
      <c r="A115" s="1059"/>
      <c r="B115" s="1207"/>
      <c r="C115" s="1207"/>
      <c r="D115" s="1207"/>
      <c r="E115" s="1105"/>
      <c r="F115" s="1105"/>
      <c r="G115" s="1105"/>
      <c r="H115" s="1105"/>
      <c r="I115" s="1105"/>
      <c r="J115" s="1105"/>
      <c r="K115" s="1105"/>
      <c r="L115" s="1105"/>
      <c r="M115" s="1105"/>
      <c r="N115" s="1105"/>
      <c r="O115" s="1105"/>
      <c r="P115" s="1105"/>
      <c r="Q115" s="1105"/>
      <c r="R115" s="1105"/>
      <c r="S115" s="1105"/>
      <c r="T115" s="1105"/>
      <c r="U115" s="204"/>
    </row>
    <row r="116" spans="1:21">
      <c r="A116" s="219" t="s">
        <v>1870</v>
      </c>
      <c r="B116" s="1207"/>
      <c r="C116" s="1207"/>
      <c r="D116" s="1207"/>
      <c r="E116" s="1105"/>
      <c r="F116" s="1105"/>
      <c r="G116" s="1105"/>
      <c r="H116" s="1105"/>
      <c r="I116" s="1105"/>
      <c r="J116" s="1105"/>
      <c r="K116" s="1105"/>
      <c r="L116" s="1105"/>
      <c r="M116" s="1105"/>
      <c r="N116" s="1105"/>
      <c r="O116" s="1105"/>
      <c r="P116" s="1105"/>
      <c r="Q116" s="1105"/>
      <c r="R116" s="1105"/>
      <c r="S116" s="1105"/>
      <c r="T116" s="1105"/>
      <c r="U116" s="204"/>
    </row>
    <row r="117" spans="1:21">
      <c r="A117" s="219" t="s">
        <v>1871</v>
      </c>
      <c r="B117" s="1207"/>
      <c r="C117" s="1207"/>
      <c r="D117" s="1207"/>
      <c r="E117" s="1105"/>
      <c r="F117" s="1105"/>
      <c r="G117" s="1105"/>
      <c r="H117" s="1105"/>
      <c r="I117" s="1105"/>
      <c r="J117" s="1105"/>
      <c r="K117" s="1105"/>
      <c r="L117" s="1105"/>
      <c r="M117" s="1105"/>
      <c r="N117" s="1105"/>
      <c r="O117" s="1105"/>
      <c r="P117" s="1105"/>
      <c r="Q117" s="1105"/>
      <c r="R117" s="1105"/>
      <c r="S117" s="1105"/>
      <c r="T117" s="1105"/>
      <c r="U117" s="204"/>
    </row>
    <row r="118" spans="1:21">
      <c r="A118" s="219" t="s">
        <v>1872</v>
      </c>
      <c r="B118" s="1207"/>
      <c r="C118" s="1207"/>
      <c r="D118" s="1207"/>
      <c r="E118" s="1105"/>
      <c r="F118" s="1105"/>
      <c r="G118" s="1105"/>
      <c r="H118" s="1105"/>
      <c r="I118" s="1105"/>
      <c r="J118" s="1105"/>
      <c r="K118" s="1105"/>
      <c r="L118" s="1105"/>
      <c r="M118" s="1105"/>
      <c r="N118" s="1105"/>
      <c r="O118" s="1105"/>
      <c r="P118" s="1105"/>
      <c r="Q118" s="1105"/>
      <c r="R118" s="1105"/>
      <c r="S118" s="1105"/>
      <c r="T118" s="1105"/>
      <c r="U118" s="204"/>
    </row>
    <row r="119" spans="1:21">
      <c r="A119" s="219" t="s">
        <v>1873</v>
      </c>
      <c r="B119" s="1207"/>
      <c r="C119" s="1207"/>
      <c r="D119" s="1207"/>
      <c r="E119" s="1105"/>
      <c r="F119" s="1105"/>
      <c r="G119" s="1105"/>
      <c r="H119" s="1105"/>
      <c r="I119" s="1105"/>
      <c r="J119" s="1105"/>
      <c r="K119" s="1105"/>
      <c r="L119" s="1105"/>
      <c r="M119" s="1105"/>
      <c r="N119" s="1105"/>
      <c r="O119" s="1105"/>
      <c r="P119" s="1105"/>
      <c r="Q119" s="1105"/>
      <c r="R119" s="1105"/>
      <c r="S119" s="1105"/>
      <c r="T119" s="1105"/>
      <c r="U119" s="204"/>
    </row>
    <row r="120" spans="1:21" ht="12" customHeight="1">
      <c r="A120" s="218"/>
      <c r="B120" s="1207"/>
      <c r="C120" s="1207"/>
      <c r="D120" s="1207"/>
      <c r="E120" s="1105"/>
      <c r="F120" s="1105"/>
      <c r="G120" s="1105"/>
      <c r="H120" s="1105"/>
      <c r="I120" s="1105"/>
      <c r="J120" s="1105"/>
      <c r="K120" s="1105"/>
      <c r="L120" s="1105"/>
      <c r="M120" s="1105"/>
      <c r="N120" s="1105"/>
      <c r="O120" s="1105"/>
      <c r="P120" s="1105"/>
      <c r="Q120" s="1105"/>
      <c r="R120" s="1105"/>
      <c r="S120" s="1105"/>
      <c r="T120" s="1105"/>
      <c r="U120" s="204"/>
    </row>
    <row r="121" spans="1:21" ht="15.5">
      <c r="A121" s="213" t="s">
        <v>1874</v>
      </c>
      <c r="B121" s="1207"/>
      <c r="C121" s="1207"/>
      <c r="D121" s="1207"/>
      <c r="E121" s="1105"/>
      <c r="F121" s="1105"/>
      <c r="G121" s="1105"/>
      <c r="H121" s="1105"/>
      <c r="I121" s="1105"/>
      <c r="J121" s="1105"/>
      <c r="K121" s="1105"/>
      <c r="L121" s="1105"/>
      <c r="M121" s="1105"/>
      <c r="N121" s="1105"/>
      <c r="O121" s="1105"/>
      <c r="P121" s="1105"/>
      <c r="Q121" s="1105"/>
      <c r="R121" s="1105"/>
      <c r="S121" s="1105"/>
      <c r="T121" s="1105"/>
      <c r="U121" s="204"/>
    </row>
    <row r="122" spans="1:21">
      <c r="A122" s="203" t="s">
        <v>1875</v>
      </c>
      <c r="B122" s="1105"/>
      <c r="C122" s="1105"/>
      <c r="D122" s="1798" t="s">
        <v>1876</v>
      </c>
      <c r="E122" s="1798"/>
      <c r="F122" s="1798"/>
      <c r="G122" s="1105"/>
      <c r="H122" s="1105"/>
      <c r="I122" s="1105"/>
      <c r="J122" s="1105"/>
      <c r="K122" s="1105"/>
      <c r="L122" s="1105"/>
      <c r="M122" s="1105"/>
      <c r="N122" s="1105"/>
      <c r="O122" s="1105"/>
      <c r="P122" s="1105"/>
      <c r="Q122" s="1105"/>
      <c r="R122" s="1105"/>
      <c r="S122" s="1105"/>
      <c r="T122" s="1105"/>
      <c r="U122" s="204"/>
    </row>
    <row r="123" spans="1:21">
      <c r="A123" s="1105" t="s">
        <v>1877</v>
      </c>
      <c r="B123" s="211"/>
      <c r="C123" s="1105"/>
      <c r="D123" s="1791" t="s">
        <v>1878</v>
      </c>
      <c r="E123" s="1503"/>
      <c r="F123" s="1503"/>
      <c r="G123" s="1503"/>
      <c r="H123" s="1503"/>
      <c r="I123" s="1503"/>
      <c r="J123" s="1503"/>
      <c r="K123" s="1503"/>
      <c r="L123" s="1503"/>
      <c r="M123" s="1503"/>
      <c r="N123" s="1503"/>
      <c r="O123" s="1503"/>
      <c r="P123" s="1503"/>
      <c r="Q123" s="1503"/>
      <c r="R123" s="1503"/>
      <c r="S123" s="1503"/>
      <c r="T123" s="1105"/>
      <c r="U123" s="204"/>
    </row>
    <row r="124" spans="1:21" ht="12.5">
      <c r="A124" s="1044" t="s">
        <v>1879</v>
      </c>
      <c r="B124" s="211"/>
      <c r="C124" s="1044"/>
      <c r="D124" s="1503"/>
      <c r="E124" s="1503"/>
      <c r="F124" s="1503"/>
      <c r="G124" s="1503"/>
      <c r="H124" s="1503"/>
      <c r="I124" s="1503"/>
      <c r="J124" s="1503"/>
      <c r="K124" s="1503"/>
      <c r="L124" s="1503"/>
      <c r="M124" s="1503"/>
      <c r="N124" s="1503"/>
      <c r="O124" s="1503"/>
      <c r="P124" s="1503"/>
      <c r="Q124" s="1503"/>
      <c r="R124" s="1503"/>
      <c r="S124" s="1503"/>
      <c r="T124" s="1105"/>
      <c r="U124" s="204"/>
    </row>
    <row r="125" spans="1:21" ht="12.5">
      <c r="A125" s="1044" t="s">
        <v>1880</v>
      </c>
      <c r="B125" s="211"/>
      <c r="C125" s="1044"/>
      <c r="D125" s="1503"/>
      <c r="E125" s="1503"/>
      <c r="F125" s="1503"/>
      <c r="G125" s="1503"/>
      <c r="H125" s="1503"/>
      <c r="I125" s="1503"/>
      <c r="J125" s="1503"/>
      <c r="K125" s="1503"/>
      <c r="L125" s="1503"/>
      <c r="M125" s="1503"/>
      <c r="N125" s="1503"/>
      <c r="O125" s="1503"/>
      <c r="P125" s="1503"/>
      <c r="Q125" s="1503"/>
      <c r="R125" s="1503"/>
      <c r="S125" s="1503"/>
      <c r="T125" s="1105"/>
      <c r="U125" s="204"/>
    </row>
    <row r="126" spans="1:21" ht="12.5">
      <c r="A126" s="1044" t="s">
        <v>1881</v>
      </c>
      <c r="B126" s="211"/>
      <c r="C126" s="1044"/>
      <c r="D126" s="69"/>
      <c r="E126" s="69"/>
      <c r="F126" s="69"/>
      <c r="G126" s="69"/>
      <c r="H126" s="69"/>
      <c r="I126" s="69"/>
      <c r="J126" s="69"/>
      <c r="K126" s="69"/>
      <c r="L126" s="69"/>
      <c r="M126" s="69"/>
      <c r="N126" s="69"/>
      <c r="O126" s="1044"/>
      <c r="P126" s="1044"/>
      <c r="Q126" s="1044"/>
      <c r="R126" s="1044"/>
      <c r="S126" s="1044"/>
      <c r="T126" s="1105"/>
      <c r="U126" s="204"/>
    </row>
    <row r="127" spans="1:21" ht="12.5">
      <c r="A127" s="1044" t="s">
        <v>1882</v>
      </c>
      <c r="B127" s="211"/>
      <c r="C127" s="1044"/>
      <c r="D127" s="69"/>
      <c r="E127" s="69"/>
      <c r="F127" s="69"/>
      <c r="G127" s="69"/>
      <c r="H127" s="69"/>
      <c r="I127" s="69"/>
      <c r="J127" s="69"/>
      <c r="K127" s="69"/>
      <c r="L127" s="69"/>
      <c r="M127" s="69"/>
      <c r="N127" s="69"/>
      <c r="O127" s="1044"/>
      <c r="P127" s="1044"/>
      <c r="Q127" s="1044"/>
      <c r="R127" s="1044"/>
      <c r="S127" s="1044"/>
      <c r="T127" s="1105"/>
      <c r="U127" s="204"/>
    </row>
    <row r="128" spans="1:21" ht="12.5">
      <c r="A128" s="1044" t="s">
        <v>1883</v>
      </c>
      <c r="B128" s="211"/>
      <c r="C128" s="1044"/>
      <c r="D128" s="1793"/>
      <c r="E128" s="1793"/>
      <c r="F128" s="1793"/>
      <c r="G128" s="1793"/>
      <c r="H128" s="1793"/>
      <c r="I128" s="1044"/>
      <c r="J128" s="1790"/>
      <c r="K128" s="1790"/>
      <c r="L128" s="1044"/>
      <c r="M128" s="1044"/>
      <c r="N128" s="1044"/>
      <c r="O128" s="1044"/>
      <c r="P128" s="1044"/>
      <c r="Q128" s="1044"/>
      <c r="R128" s="1044"/>
      <c r="S128" s="1044"/>
      <c r="T128" s="1105"/>
      <c r="U128" s="204"/>
    </row>
    <row r="129" spans="1:21" ht="12.5">
      <c r="A129" s="1044" t="s">
        <v>1054</v>
      </c>
      <c r="B129" s="211"/>
      <c r="C129" s="1044"/>
      <c r="D129" s="1797" t="s">
        <v>1884</v>
      </c>
      <c r="E129" s="1797"/>
      <c r="F129" s="1797"/>
      <c r="G129" s="1797"/>
      <c r="H129" s="1797"/>
      <c r="I129" s="1044"/>
      <c r="J129" s="1044" t="s">
        <v>1885</v>
      </c>
      <c r="K129" s="1044"/>
      <c r="L129" s="1044"/>
      <c r="M129" s="1044"/>
      <c r="N129" s="1044"/>
      <c r="O129" s="1044"/>
      <c r="P129" s="1044"/>
      <c r="Q129" s="1044"/>
      <c r="R129" s="1044"/>
      <c r="S129" s="1044"/>
      <c r="T129" s="1105"/>
      <c r="U129" s="204"/>
    </row>
    <row r="130" spans="1:21" ht="12" customHeight="1">
      <c r="A130" s="1044"/>
      <c r="B130" s="210"/>
      <c r="C130" s="1044"/>
      <c r="D130" s="1044"/>
      <c r="E130" s="1044"/>
      <c r="F130" s="1044"/>
      <c r="G130" s="1044"/>
      <c r="H130" s="1044"/>
      <c r="I130" s="1044"/>
      <c r="J130" s="1044"/>
      <c r="K130" s="1044"/>
      <c r="L130" s="1044"/>
      <c r="M130" s="1044"/>
      <c r="N130" s="1044"/>
      <c r="O130" s="1044"/>
      <c r="P130" s="1044"/>
      <c r="Q130" s="1044"/>
      <c r="R130" s="1044"/>
      <c r="S130" s="1044"/>
      <c r="T130" s="1105"/>
      <c r="U130" s="204"/>
    </row>
    <row r="131" spans="1:21" ht="13">
      <c r="A131" s="1036" t="s">
        <v>1886</v>
      </c>
      <c r="B131" s="212">
        <f>SUM(B123:B129)</f>
        <v>0</v>
      </c>
      <c r="C131" s="1044"/>
      <c r="D131" s="1483"/>
      <c r="E131" s="1483"/>
      <c r="F131" s="1483"/>
      <c r="G131" s="1483"/>
      <c r="H131" s="1483"/>
      <c r="I131" s="1044"/>
      <c r="J131" s="1483"/>
      <c r="K131" s="1483"/>
      <c r="L131" s="1483"/>
      <c r="M131" s="1483"/>
      <c r="N131" s="1044"/>
      <c r="O131" s="1044"/>
      <c r="P131" s="1044"/>
      <c r="Q131" s="1044"/>
      <c r="R131" s="1044"/>
      <c r="S131" s="1044"/>
      <c r="T131" s="1105"/>
      <c r="U131" s="204"/>
    </row>
    <row r="132" spans="1:21" ht="12" customHeight="1">
      <c r="A132" s="1210"/>
      <c r="B132" s="1044"/>
      <c r="C132" s="1044"/>
      <c r="D132" s="1285" t="s">
        <v>1887</v>
      </c>
      <c r="E132" s="1285"/>
      <c r="F132" s="1285"/>
      <c r="G132" s="1285"/>
      <c r="H132" s="1285"/>
      <c r="I132" s="1044"/>
      <c r="J132" s="1285" t="s">
        <v>1888</v>
      </c>
      <c r="K132" s="1285"/>
      <c r="L132" s="1285"/>
      <c r="M132" s="1285"/>
      <c r="N132" s="1044"/>
      <c r="O132" s="1044"/>
      <c r="P132" s="1044"/>
      <c r="Q132" s="1044"/>
      <c r="R132" s="1044"/>
      <c r="S132" s="1044"/>
      <c r="T132" s="1105"/>
      <c r="U132" s="204"/>
    </row>
    <row r="133" spans="1:21" ht="12" customHeight="1">
      <c r="A133" s="1210"/>
      <c r="B133" s="1044"/>
      <c r="C133" s="1044"/>
      <c r="D133" s="1044"/>
      <c r="E133" s="1044"/>
      <c r="F133" s="1044"/>
      <c r="G133" s="1044"/>
      <c r="H133" s="1044"/>
      <c r="I133" s="1044"/>
      <c r="J133" s="1044"/>
      <c r="K133" s="1044"/>
      <c r="L133" s="1044"/>
      <c r="M133" s="1044"/>
      <c r="N133" s="1044"/>
      <c r="O133" s="1044"/>
      <c r="P133" s="1044"/>
      <c r="Q133" s="1044"/>
      <c r="R133" s="1044"/>
      <c r="S133" s="1044"/>
      <c r="T133" s="1105"/>
      <c r="U133" s="204"/>
    </row>
    <row r="134" spans="1:21" ht="12.5">
      <c r="A134" s="1043" t="s">
        <v>1889</v>
      </c>
      <c r="B134" s="1044"/>
      <c r="C134" s="1044"/>
      <c r="D134" s="1044"/>
      <c r="E134" s="1044"/>
      <c r="F134" s="1044"/>
      <c r="G134" s="1044"/>
      <c r="H134" s="1044"/>
      <c r="I134" s="1044"/>
      <c r="J134" s="1044"/>
      <c r="K134" s="1044"/>
      <c r="L134" s="1044"/>
      <c r="M134" s="1044"/>
      <c r="N134" s="1044"/>
      <c r="O134" s="1044"/>
      <c r="P134" s="1044"/>
      <c r="Q134" s="1044"/>
      <c r="R134" s="1044"/>
      <c r="S134" s="1044"/>
      <c r="T134" s="1105"/>
      <c r="U134" s="204"/>
    </row>
    <row r="135" spans="1:21" ht="13">
      <c r="A135" s="1059" t="s">
        <v>1890</v>
      </c>
      <c r="B135" s="1044"/>
      <c r="C135" s="1044"/>
      <c r="D135" s="1044"/>
      <c r="E135" s="1044"/>
      <c r="F135" s="1044"/>
      <c r="G135" s="1044"/>
      <c r="H135" s="1044"/>
      <c r="I135" s="1044"/>
      <c r="J135" s="1044"/>
      <c r="K135" s="1044"/>
      <c r="L135" s="1044"/>
      <c r="M135" s="1044"/>
      <c r="N135" s="1211"/>
      <c r="O135" s="1044"/>
      <c r="P135" s="1044"/>
      <c r="Q135" s="1044"/>
      <c r="R135" s="1044"/>
      <c r="S135" s="1044"/>
      <c r="T135" s="1105"/>
      <c r="U135" s="204"/>
    </row>
    <row r="136" spans="1:21" ht="12" customHeight="1">
      <c r="A136" s="1210"/>
      <c r="B136" s="1044"/>
      <c r="C136" s="1044"/>
      <c r="D136" s="1044"/>
      <c r="E136" s="1044"/>
      <c r="F136" s="1044"/>
      <c r="G136" s="1044"/>
      <c r="H136" s="1044"/>
      <c r="I136" s="1044"/>
      <c r="J136" s="1044"/>
      <c r="K136" s="1044"/>
      <c r="L136" s="1044"/>
      <c r="M136" s="1044"/>
      <c r="N136" s="1044"/>
      <c r="O136" s="1044"/>
      <c r="P136" s="1044"/>
      <c r="Q136" s="1044"/>
      <c r="R136" s="1044"/>
      <c r="S136" s="1044"/>
      <c r="T136" s="208"/>
      <c r="U136" s="209"/>
    </row>
    <row r="137" spans="1:21" ht="12.5">
      <c r="A137" s="1210"/>
      <c r="B137" s="1044"/>
      <c r="C137" s="1044"/>
      <c r="D137" s="1044"/>
      <c r="E137" s="1044"/>
      <c r="F137" s="1044"/>
      <c r="G137" s="1044"/>
      <c r="H137" s="1044"/>
      <c r="I137" s="1044"/>
      <c r="J137" s="1044"/>
      <c r="K137" s="1044"/>
      <c r="L137" s="1044"/>
      <c r="M137" s="1044"/>
      <c r="N137" s="1044"/>
      <c r="O137" s="1044"/>
      <c r="P137" s="1044"/>
      <c r="Q137" s="1044"/>
      <c r="R137" s="1044"/>
      <c r="S137" s="1044"/>
      <c r="T137" s="208"/>
      <c r="U137" s="209"/>
    </row>
    <row r="138" spans="1:21" ht="12" customHeight="1">
      <c r="A138" s="1792"/>
      <c r="B138" s="1793"/>
      <c r="C138" s="1793"/>
      <c r="D138" s="206"/>
      <c r="E138" s="1790"/>
      <c r="F138" s="1790"/>
      <c r="G138" s="1044"/>
      <c r="H138" s="1044"/>
      <c r="I138" s="1044"/>
      <c r="J138" s="1044"/>
      <c r="K138" s="1044"/>
      <c r="L138" s="1044"/>
      <c r="M138" s="1044"/>
      <c r="N138" s="1044"/>
      <c r="O138" s="1044"/>
      <c r="P138" s="1044"/>
      <c r="Q138" s="1044"/>
      <c r="R138" s="1044"/>
      <c r="S138" s="1044"/>
      <c r="T138" s="208"/>
      <c r="U138" s="209"/>
    </row>
    <row r="139" spans="1:21" ht="13">
      <c r="A139" s="1789" t="s">
        <v>1891</v>
      </c>
      <c r="B139" s="1789"/>
      <c r="C139" s="1789"/>
      <c r="D139" s="206"/>
      <c r="E139" s="1044" t="s">
        <v>1885</v>
      </c>
      <c r="F139" s="1044"/>
      <c r="G139" s="1044"/>
      <c r="H139" s="1044"/>
      <c r="I139" s="1044"/>
      <c r="J139" s="1044"/>
      <c r="K139" s="1044"/>
      <c r="L139" s="1044"/>
      <c r="M139" s="1044"/>
      <c r="N139" s="1044"/>
      <c r="O139" s="1044"/>
      <c r="P139" s="1044"/>
      <c r="Q139" s="1044"/>
      <c r="R139" s="1044"/>
      <c r="S139" s="1044"/>
      <c r="T139" s="208"/>
      <c r="U139" s="209"/>
    </row>
    <row r="140" spans="1:21" ht="13">
      <c r="A140" s="1210"/>
      <c r="B140" s="1044"/>
      <c r="C140" s="1044"/>
      <c r="D140" s="206"/>
      <c r="E140" s="1044"/>
      <c r="F140" s="1044"/>
      <c r="G140" s="1044"/>
      <c r="H140" s="1044"/>
      <c r="I140" s="1044"/>
      <c r="J140" s="1044"/>
      <c r="K140" s="1044"/>
      <c r="L140" s="1044"/>
      <c r="M140" s="1044"/>
      <c r="N140" s="1044"/>
      <c r="O140" s="1044"/>
      <c r="P140" s="1044"/>
      <c r="Q140" s="1044"/>
      <c r="R140" s="1044"/>
      <c r="S140" s="1044"/>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heetViews>
  <sheetFormatPr defaultColWidth="0" defaultRowHeight="11.5" zeroHeight="1"/>
  <cols>
    <col min="1" max="1" width="32.7265625" style="267" customWidth="1"/>
    <col min="2" max="3" width="12.1796875" style="263" customWidth="1"/>
    <col min="4" max="6" width="12.81640625" style="263" customWidth="1"/>
    <col min="7" max="9" width="12.1796875" style="263" customWidth="1"/>
    <col min="10" max="10" width="12.1796875" style="264" customWidth="1"/>
    <col min="11" max="11" width="8.81640625" style="265" hidden="1" customWidth="1"/>
    <col min="12" max="21" width="8.81640625" style="263" hidden="1" customWidth="1"/>
    <col min="22" max="23" width="0" style="263" hidden="1"/>
    <col min="24" max="256" width="8.81640625" style="263" hidden="1"/>
    <col min="257" max="257" width="32.7265625" style="263" hidden="1" customWidth="1"/>
    <col min="258" max="259" width="12.1796875" style="263" hidden="1" customWidth="1"/>
    <col min="260" max="260" width="12.81640625" style="263" hidden="1" customWidth="1"/>
    <col min="261" max="266" width="12.1796875" style="263" hidden="1" customWidth="1"/>
    <col min="267" max="277" width="8.81640625" style="263" hidden="1" customWidth="1"/>
    <col min="278" max="512" width="8.81640625" style="263" hidden="1"/>
    <col min="513" max="513" width="32.7265625" style="263" hidden="1" customWidth="1"/>
    <col min="514" max="515" width="12.1796875" style="263" hidden="1" customWidth="1"/>
    <col min="516" max="516" width="12.81640625" style="263" hidden="1" customWidth="1"/>
    <col min="517" max="522" width="12.1796875" style="263" hidden="1" customWidth="1"/>
    <col min="523" max="533" width="8.81640625" style="263" hidden="1" customWidth="1"/>
    <col min="534" max="768" width="8.81640625" style="263" hidden="1"/>
    <col min="769" max="769" width="32.7265625" style="263" hidden="1" customWidth="1"/>
    <col min="770" max="771" width="12.1796875" style="263" hidden="1" customWidth="1"/>
    <col min="772" max="772" width="12.81640625" style="263" hidden="1" customWidth="1"/>
    <col min="773" max="778" width="12.1796875" style="263" hidden="1" customWidth="1"/>
    <col min="779" max="789" width="8.81640625" style="263" hidden="1" customWidth="1"/>
    <col min="790" max="1024" width="8.81640625" style="263" hidden="1"/>
    <col min="1025" max="1025" width="32.7265625" style="263" hidden="1" customWidth="1"/>
    <col min="1026" max="1027" width="12.1796875" style="263" hidden="1" customWidth="1"/>
    <col min="1028" max="1028" width="12.81640625" style="263" hidden="1" customWidth="1"/>
    <col min="1029" max="1034" width="12.1796875" style="263" hidden="1" customWidth="1"/>
    <col min="1035" max="1045" width="8.81640625" style="263" hidden="1" customWidth="1"/>
    <col min="1046" max="1280" width="8.81640625" style="263" hidden="1"/>
    <col min="1281" max="1281" width="32.7265625" style="263" hidden="1" customWidth="1"/>
    <col min="1282" max="1283" width="12.1796875" style="263" hidden="1" customWidth="1"/>
    <col min="1284" max="1284" width="12.81640625" style="263" hidden="1" customWidth="1"/>
    <col min="1285" max="1290" width="12.1796875" style="263" hidden="1" customWidth="1"/>
    <col min="1291" max="1301" width="8.81640625" style="263" hidden="1" customWidth="1"/>
    <col min="1302" max="1536" width="8.81640625" style="263" hidden="1"/>
    <col min="1537" max="1537" width="32.7265625" style="263" hidden="1" customWidth="1"/>
    <col min="1538" max="1539" width="12.1796875" style="263" hidden="1" customWidth="1"/>
    <col min="1540" max="1540" width="12.81640625" style="263" hidden="1" customWidth="1"/>
    <col min="1541" max="1546" width="12.1796875" style="263" hidden="1" customWidth="1"/>
    <col min="1547" max="1557" width="8.81640625" style="263" hidden="1" customWidth="1"/>
    <col min="1558" max="1792" width="8.81640625" style="263" hidden="1"/>
    <col min="1793" max="1793" width="32.7265625" style="263" hidden="1" customWidth="1"/>
    <col min="1794" max="1795" width="12.1796875" style="263" hidden="1" customWidth="1"/>
    <col min="1796" max="1796" width="12.81640625" style="263" hidden="1" customWidth="1"/>
    <col min="1797" max="1802" width="12.1796875" style="263" hidden="1" customWidth="1"/>
    <col min="1803" max="1813" width="8.81640625" style="263" hidden="1" customWidth="1"/>
    <col min="1814" max="2048" width="8.81640625" style="263" hidden="1"/>
    <col min="2049" max="2049" width="32.7265625" style="263" hidden="1" customWidth="1"/>
    <col min="2050" max="2051" width="12.1796875" style="263" hidden="1" customWidth="1"/>
    <col min="2052" max="2052" width="12.81640625" style="263" hidden="1" customWidth="1"/>
    <col min="2053" max="2058" width="12.1796875" style="263" hidden="1" customWidth="1"/>
    <col min="2059" max="2069" width="8.81640625" style="263" hidden="1" customWidth="1"/>
    <col min="2070" max="2304" width="8.81640625" style="263" hidden="1"/>
    <col min="2305" max="2305" width="32.7265625" style="263" hidden="1" customWidth="1"/>
    <col min="2306" max="2307" width="12.1796875" style="263" hidden="1" customWidth="1"/>
    <col min="2308" max="2308" width="12.81640625" style="263" hidden="1" customWidth="1"/>
    <col min="2309" max="2314" width="12.1796875" style="263" hidden="1" customWidth="1"/>
    <col min="2315" max="2325" width="8.81640625" style="263" hidden="1" customWidth="1"/>
    <col min="2326" max="2560" width="8.81640625" style="263" hidden="1"/>
    <col min="2561" max="2561" width="32.7265625" style="263" hidden="1" customWidth="1"/>
    <col min="2562" max="2563" width="12.1796875" style="263" hidden="1" customWidth="1"/>
    <col min="2564" max="2564" width="12.81640625" style="263" hidden="1" customWidth="1"/>
    <col min="2565" max="2570" width="12.1796875" style="263" hidden="1" customWidth="1"/>
    <col min="2571" max="2581" width="8.81640625" style="263" hidden="1" customWidth="1"/>
    <col min="2582" max="2816" width="8.81640625" style="263" hidden="1"/>
    <col min="2817" max="2817" width="32.7265625" style="263" hidden="1" customWidth="1"/>
    <col min="2818" max="2819" width="12.1796875" style="263" hidden="1" customWidth="1"/>
    <col min="2820" max="2820" width="12.81640625" style="263" hidden="1" customWidth="1"/>
    <col min="2821" max="2826" width="12.1796875" style="263" hidden="1" customWidth="1"/>
    <col min="2827" max="2837" width="8.81640625" style="263" hidden="1" customWidth="1"/>
    <col min="2838" max="3072" width="8.81640625" style="263" hidden="1"/>
    <col min="3073" max="3073" width="32.7265625" style="263" hidden="1" customWidth="1"/>
    <col min="3074" max="3075" width="12.1796875" style="263" hidden="1" customWidth="1"/>
    <col min="3076" max="3076" width="12.81640625" style="263" hidden="1" customWidth="1"/>
    <col min="3077" max="3082" width="12.1796875" style="263" hidden="1" customWidth="1"/>
    <col min="3083" max="3093" width="8.81640625" style="263" hidden="1" customWidth="1"/>
    <col min="3094" max="3328" width="8.81640625" style="263" hidden="1"/>
    <col min="3329" max="3329" width="32.7265625" style="263" hidden="1" customWidth="1"/>
    <col min="3330" max="3331" width="12.1796875" style="263" hidden="1" customWidth="1"/>
    <col min="3332" max="3332" width="12.81640625" style="263" hidden="1" customWidth="1"/>
    <col min="3333" max="3338" width="12.1796875" style="263" hidden="1" customWidth="1"/>
    <col min="3339" max="3349" width="8.81640625" style="263" hidden="1" customWidth="1"/>
    <col min="3350" max="3584" width="8.81640625" style="263" hidden="1"/>
    <col min="3585" max="3585" width="32.7265625" style="263" hidden="1" customWidth="1"/>
    <col min="3586" max="3587" width="12.1796875" style="263" hidden="1" customWidth="1"/>
    <col min="3588" max="3588" width="12.81640625" style="263" hidden="1" customWidth="1"/>
    <col min="3589" max="3594" width="12.1796875" style="263" hidden="1" customWidth="1"/>
    <col min="3595" max="3605" width="8.81640625" style="263" hidden="1" customWidth="1"/>
    <col min="3606" max="3840" width="8.81640625" style="263" hidden="1"/>
    <col min="3841" max="3841" width="32.7265625" style="263" hidden="1" customWidth="1"/>
    <col min="3842" max="3843" width="12.1796875" style="263" hidden="1" customWidth="1"/>
    <col min="3844" max="3844" width="12.81640625" style="263" hidden="1" customWidth="1"/>
    <col min="3845" max="3850" width="12.1796875" style="263" hidden="1" customWidth="1"/>
    <col min="3851" max="3861" width="8.81640625" style="263" hidden="1" customWidth="1"/>
    <col min="3862" max="4096" width="8.81640625" style="263" hidden="1"/>
    <col min="4097" max="4097" width="32.7265625" style="263" hidden="1" customWidth="1"/>
    <col min="4098" max="4099" width="12.1796875" style="263" hidden="1" customWidth="1"/>
    <col min="4100" max="4100" width="12.81640625" style="263" hidden="1" customWidth="1"/>
    <col min="4101" max="4106" width="12.1796875" style="263" hidden="1" customWidth="1"/>
    <col min="4107" max="4117" width="8.81640625" style="263" hidden="1" customWidth="1"/>
    <col min="4118" max="4352" width="8.81640625" style="263" hidden="1"/>
    <col min="4353" max="4353" width="32.7265625" style="263" hidden="1" customWidth="1"/>
    <col min="4354" max="4355" width="12.1796875" style="263" hidden="1" customWidth="1"/>
    <col min="4356" max="4356" width="12.81640625" style="263" hidden="1" customWidth="1"/>
    <col min="4357" max="4362" width="12.1796875" style="263" hidden="1" customWidth="1"/>
    <col min="4363" max="4373" width="8.81640625" style="263" hidden="1" customWidth="1"/>
    <col min="4374" max="4608" width="8.81640625" style="263" hidden="1"/>
    <col min="4609" max="4609" width="32.7265625" style="263" hidden="1" customWidth="1"/>
    <col min="4610" max="4611" width="12.1796875" style="263" hidden="1" customWidth="1"/>
    <col min="4612" max="4612" width="12.81640625" style="263" hidden="1" customWidth="1"/>
    <col min="4613" max="4618" width="12.1796875" style="263" hidden="1" customWidth="1"/>
    <col min="4619" max="4629" width="8.81640625" style="263" hidden="1" customWidth="1"/>
    <col min="4630" max="4864" width="8.81640625" style="263" hidden="1"/>
    <col min="4865" max="4865" width="32.7265625" style="263" hidden="1" customWidth="1"/>
    <col min="4866" max="4867" width="12.1796875" style="263" hidden="1" customWidth="1"/>
    <col min="4868" max="4868" width="12.81640625" style="263" hidden="1" customWidth="1"/>
    <col min="4869" max="4874" width="12.1796875" style="263" hidden="1" customWidth="1"/>
    <col min="4875" max="4885" width="8.81640625" style="263" hidden="1" customWidth="1"/>
    <col min="4886" max="5120" width="8.81640625" style="263" hidden="1"/>
    <col min="5121" max="5121" width="32.7265625" style="263" hidden="1" customWidth="1"/>
    <col min="5122" max="5123" width="12.1796875" style="263" hidden="1" customWidth="1"/>
    <col min="5124" max="5124" width="12.81640625" style="263" hidden="1" customWidth="1"/>
    <col min="5125" max="5130" width="12.1796875" style="263" hidden="1" customWidth="1"/>
    <col min="5131" max="5141" width="8.81640625" style="263" hidden="1" customWidth="1"/>
    <col min="5142" max="5376" width="8.81640625" style="263" hidden="1"/>
    <col min="5377" max="5377" width="32.7265625" style="263" hidden="1" customWidth="1"/>
    <col min="5378" max="5379" width="12.1796875" style="263" hidden="1" customWidth="1"/>
    <col min="5380" max="5380" width="12.81640625" style="263" hidden="1" customWidth="1"/>
    <col min="5381" max="5386" width="12.1796875" style="263" hidden="1" customWidth="1"/>
    <col min="5387" max="5397" width="8.81640625" style="263" hidden="1" customWidth="1"/>
    <col min="5398" max="5632" width="8.81640625" style="263" hidden="1"/>
    <col min="5633" max="5633" width="32.7265625" style="263" hidden="1" customWidth="1"/>
    <col min="5634" max="5635" width="12.1796875" style="263" hidden="1" customWidth="1"/>
    <col min="5636" max="5636" width="12.81640625" style="263" hidden="1" customWidth="1"/>
    <col min="5637" max="5642" width="12.1796875" style="263" hidden="1" customWidth="1"/>
    <col min="5643" max="5653" width="8.81640625" style="263" hidden="1" customWidth="1"/>
    <col min="5654" max="5888" width="8.81640625" style="263" hidden="1"/>
    <col min="5889" max="5889" width="32.7265625" style="263" hidden="1" customWidth="1"/>
    <col min="5890" max="5891" width="12.1796875" style="263" hidden="1" customWidth="1"/>
    <col min="5892" max="5892" width="12.81640625" style="263" hidden="1" customWidth="1"/>
    <col min="5893" max="5898" width="12.1796875" style="263" hidden="1" customWidth="1"/>
    <col min="5899" max="5909" width="8.81640625" style="263" hidden="1" customWidth="1"/>
    <col min="5910" max="6144" width="8.81640625" style="263" hidden="1"/>
    <col min="6145" max="6145" width="32.7265625" style="263" hidden="1" customWidth="1"/>
    <col min="6146" max="6147" width="12.1796875" style="263" hidden="1" customWidth="1"/>
    <col min="6148" max="6148" width="12.81640625" style="263" hidden="1" customWidth="1"/>
    <col min="6149" max="6154" width="12.1796875" style="263" hidden="1" customWidth="1"/>
    <col min="6155" max="6165" width="8.81640625" style="263" hidden="1" customWidth="1"/>
    <col min="6166" max="6400" width="8.81640625" style="263" hidden="1"/>
    <col min="6401" max="6401" width="32.7265625" style="263" hidden="1" customWidth="1"/>
    <col min="6402" max="6403" width="12.1796875" style="263" hidden="1" customWidth="1"/>
    <col min="6404" max="6404" width="12.81640625" style="263" hidden="1" customWidth="1"/>
    <col min="6405" max="6410" width="12.1796875" style="263" hidden="1" customWidth="1"/>
    <col min="6411" max="6421" width="8.81640625" style="263" hidden="1" customWidth="1"/>
    <col min="6422" max="6656" width="8.81640625" style="263" hidden="1"/>
    <col min="6657" max="6657" width="32.7265625" style="263" hidden="1" customWidth="1"/>
    <col min="6658" max="6659" width="12.1796875" style="263" hidden="1" customWidth="1"/>
    <col min="6660" max="6660" width="12.81640625" style="263" hidden="1" customWidth="1"/>
    <col min="6661" max="6666" width="12.1796875" style="263" hidden="1" customWidth="1"/>
    <col min="6667" max="6677" width="8.81640625" style="263" hidden="1" customWidth="1"/>
    <col min="6678" max="6912" width="8.81640625" style="263" hidden="1"/>
    <col min="6913" max="6913" width="32.7265625" style="263" hidden="1" customWidth="1"/>
    <col min="6914" max="6915" width="12.1796875" style="263" hidden="1" customWidth="1"/>
    <col min="6916" max="6916" width="12.81640625" style="263" hidden="1" customWidth="1"/>
    <col min="6917" max="6922" width="12.1796875" style="263" hidden="1" customWidth="1"/>
    <col min="6923" max="6933" width="8.81640625" style="263" hidden="1" customWidth="1"/>
    <col min="6934" max="7168" width="8.81640625" style="263" hidden="1"/>
    <col min="7169" max="7169" width="32.7265625" style="263" hidden="1" customWidth="1"/>
    <col min="7170" max="7171" width="12.1796875" style="263" hidden="1" customWidth="1"/>
    <col min="7172" max="7172" width="12.81640625" style="263" hidden="1" customWidth="1"/>
    <col min="7173" max="7178" width="12.1796875" style="263" hidden="1" customWidth="1"/>
    <col min="7179" max="7189" width="8.81640625" style="263" hidden="1" customWidth="1"/>
    <col min="7190" max="7424" width="8.81640625" style="263" hidden="1"/>
    <col min="7425" max="7425" width="32.7265625" style="263" hidden="1" customWidth="1"/>
    <col min="7426" max="7427" width="12.1796875" style="263" hidden="1" customWidth="1"/>
    <col min="7428" max="7428" width="12.81640625" style="263" hidden="1" customWidth="1"/>
    <col min="7429" max="7434" width="12.1796875" style="263" hidden="1" customWidth="1"/>
    <col min="7435" max="7445" width="8.81640625" style="263" hidden="1" customWidth="1"/>
    <col min="7446" max="7680" width="8.81640625" style="263" hidden="1"/>
    <col min="7681" max="7681" width="32.7265625" style="263" hidden="1" customWidth="1"/>
    <col min="7682" max="7683" width="12.1796875" style="263" hidden="1" customWidth="1"/>
    <col min="7684" max="7684" width="12.81640625" style="263" hidden="1" customWidth="1"/>
    <col min="7685" max="7690" width="12.1796875" style="263" hidden="1" customWidth="1"/>
    <col min="7691" max="7701" width="8.81640625" style="263" hidden="1" customWidth="1"/>
    <col min="7702" max="7936" width="8.81640625" style="263" hidden="1"/>
    <col min="7937" max="7937" width="32.7265625" style="263" hidden="1" customWidth="1"/>
    <col min="7938" max="7939" width="12.1796875" style="263" hidden="1" customWidth="1"/>
    <col min="7940" max="7940" width="12.81640625" style="263" hidden="1" customWidth="1"/>
    <col min="7941" max="7946" width="12.1796875" style="263" hidden="1" customWidth="1"/>
    <col min="7947" max="7957" width="8.81640625" style="263" hidden="1" customWidth="1"/>
    <col min="7958" max="8192" width="8.81640625" style="263" hidden="1"/>
    <col min="8193" max="8193" width="32.7265625" style="263" hidden="1" customWidth="1"/>
    <col min="8194" max="8195" width="12.1796875" style="263" hidden="1" customWidth="1"/>
    <col min="8196" max="8196" width="12.81640625" style="263" hidden="1" customWidth="1"/>
    <col min="8197" max="8202" width="12.1796875" style="263" hidden="1" customWidth="1"/>
    <col min="8203" max="8213" width="8.81640625" style="263" hidden="1" customWidth="1"/>
    <col min="8214" max="8448" width="8.81640625" style="263" hidden="1"/>
    <col min="8449" max="8449" width="32.7265625" style="263" hidden="1" customWidth="1"/>
    <col min="8450" max="8451" width="12.1796875" style="263" hidden="1" customWidth="1"/>
    <col min="8452" max="8452" width="12.81640625" style="263" hidden="1" customWidth="1"/>
    <col min="8453" max="8458" width="12.1796875" style="263" hidden="1" customWidth="1"/>
    <col min="8459" max="8469" width="8.81640625" style="263" hidden="1" customWidth="1"/>
    <col min="8470" max="8704" width="8.81640625" style="263" hidden="1"/>
    <col min="8705" max="8705" width="32.7265625" style="263" hidden="1" customWidth="1"/>
    <col min="8706" max="8707" width="12.1796875" style="263" hidden="1" customWidth="1"/>
    <col min="8708" max="8708" width="12.81640625" style="263" hidden="1" customWidth="1"/>
    <col min="8709" max="8714" width="12.1796875" style="263" hidden="1" customWidth="1"/>
    <col min="8715" max="8725" width="8.81640625" style="263" hidden="1" customWidth="1"/>
    <col min="8726" max="8960" width="8.81640625" style="263" hidden="1"/>
    <col min="8961" max="8961" width="32.7265625" style="263" hidden="1" customWidth="1"/>
    <col min="8962" max="8963" width="12.1796875" style="263" hidden="1" customWidth="1"/>
    <col min="8964" max="8964" width="12.81640625" style="263" hidden="1" customWidth="1"/>
    <col min="8965" max="8970" width="12.1796875" style="263" hidden="1" customWidth="1"/>
    <col min="8971" max="8981" width="8.81640625" style="263" hidden="1" customWidth="1"/>
    <col min="8982" max="9216" width="8.81640625" style="263" hidden="1"/>
    <col min="9217" max="9217" width="32.7265625" style="263" hidden="1" customWidth="1"/>
    <col min="9218" max="9219" width="12.1796875" style="263" hidden="1" customWidth="1"/>
    <col min="9220" max="9220" width="12.81640625" style="263" hidden="1" customWidth="1"/>
    <col min="9221" max="9226" width="12.1796875" style="263" hidden="1" customWidth="1"/>
    <col min="9227" max="9237" width="8.81640625" style="263" hidden="1" customWidth="1"/>
    <col min="9238" max="9472" width="8.81640625" style="263" hidden="1"/>
    <col min="9473" max="9473" width="32.7265625" style="263" hidden="1" customWidth="1"/>
    <col min="9474" max="9475" width="12.1796875" style="263" hidden="1" customWidth="1"/>
    <col min="9476" max="9476" width="12.81640625" style="263" hidden="1" customWidth="1"/>
    <col min="9477" max="9482" width="12.1796875" style="263" hidden="1" customWidth="1"/>
    <col min="9483" max="9493" width="8.81640625" style="263" hidden="1" customWidth="1"/>
    <col min="9494" max="9728" width="8.81640625" style="263" hidden="1"/>
    <col min="9729" max="9729" width="32.7265625" style="263" hidden="1" customWidth="1"/>
    <col min="9730" max="9731" width="12.1796875" style="263" hidden="1" customWidth="1"/>
    <col min="9732" max="9732" width="12.81640625" style="263" hidden="1" customWidth="1"/>
    <col min="9733" max="9738" width="12.1796875" style="263" hidden="1" customWidth="1"/>
    <col min="9739" max="9749" width="8.81640625" style="263" hidden="1" customWidth="1"/>
    <col min="9750" max="9984" width="8.81640625" style="263" hidden="1"/>
    <col min="9985" max="9985" width="32.7265625" style="263" hidden="1" customWidth="1"/>
    <col min="9986" max="9987" width="12.1796875" style="263" hidden="1" customWidth="1"/>
    <col min="9988" max="9988" width="12.81640625" style="263" hidden="1" customWidth="1"/>
    <col min="9989" max="9994" width="12.1796875" style="263" hidden="1" customWidth="1"/>
    <col min="9995" max="10005" width="8.81640625" style="263" hidden="1" customWidth="1"/>
    <col min="10006" max="10240" width="8.81640625" style="263" hidden="1"/>
    <col min="10241" max="10241" width="32.7265625" style="263" hidden="1" customWidth="1"/>
    <col min="10242" max="10243" width="12.1796875" style="263" hidden="1" customWidth="1"/>
    <col min="10244" max="10244" width="12.81640625" style="263" hidden="1" customWidth="1"/>
    <col min="10245" max="10250" width="12.1796875" style="263" hidden="1" customWidth="1"/>
    <col min="10251" max="10261" width="8.81640625" style="263" hidden="1" customWidth="1"/>
    <col min="10262" max="10496" width="8.81640625" style="263" hidden="1"/>
    <col min="10497" max="10497" width="32.7265625" style="263" hidden="1" customWidth="1"/>
    <col min="10498" max="10499" width="12.1796875" style="263" hidden="1" customWidth="1"/>
    <col min="10500" max="10500" width="12.81640625" style="263" hidden="1" customWidth="1"/>
    <col min="10501" max="10506" width="12.1796875" style="263" hidden="1" customWidth="1"/>
    <col min="10507" max="10517" width="8.81640625" style="263" hidden="1" customWidth="1"/>
    <col min="10518" max="10752" width="8.81640625" style="263" hidden="1"/>
    <col min="10753" max="10753" width="32.7265625" style="263" hidden="1" customWidth="1"/>
    <col min="10754" max="10755" width="12.1796875" style="263" hidden="1" customWidth="1"/>
    <col min="10756" max="10756" width="12.81640625" style="263" hidden="1" customWidth="1"/>
    <col min="10757" max="10762" width="12.1796875" style="263" hidden="1" customWidth="1"/>
    <col min="10763" max="10773" width="8.81640625" style="263" hidden="1" customWidth="1"/>
    <col min="10774" max="11008" width="8.81640625" style="263" hidden="1"/>
    <col min="11009" max="11009" width="32.7265625" style="263" hidden="1" customWidth="1"/>
    <col min="11010" max="11011" width="12.1796875" style="263" hidden="1" customWidth="1"/>
    <col min="11012" max="11012" width="12.81640625" style="263" hidden="1" customWidth="1"/>
    <col min="11013" max="11018" width="12.1796875" style="263" hidden="1" customWidth="1"/>
    <col min="11019" max="11029" width="8.81640625" style="263" hidden="1" customWidth="1"/>
    <col min="11030" max="11264" width="8.81640625" style="263" hidden="1"/>
    <col min="11265" max="11265" width="32.7265625" style="263" hidden="1" customWidth="1"/>
    <col min="11266" max="11267" width="12.1796875" style="263" hidden="1" customWidth="1"/>
    <col min="11268" max="11268" width="12.81640625" style="263" hidden="1" customWidth="1"/>
    <col min="11269" max="11274" width="12.1796875" style="263" hidden="1" customWidth="1"/>
    <col min="11275" max="11285" width="8.81640625" style="263" hidden="1" customWidth="1"/>
    <col min="11286" max="11520" width="8.81640625" style="263" hidden="1"/>
    <col min="11521" max="11521" width="32.7265625" style="263" hidden="1" customWidth="1"/>
    <col min="11522" max="11523" width="12.1796875" style="263" hidden="1" customWidth="1"/>
    <col min="11524" max="11524" width="12.81640625" style="263" hidden="1" customWidth="1"/>
    <col min="11525" max="11530" width="12.1796875" style="263" hidden="1" customWidth="1"/>
    <col min="11531" max="11541" width="8.81640625" style="263" hidden="1" customWidth="1"/>
    <col min="11542" max="11776" width="8.81640625" style="263" hidden="1"/>
    <col min="11777" max="11777" width="32.7265625" style="263" hidden="1" customWidth="1"/>
    <col min="11778" max="11779" width="12.1796875" style="263" hidden="1" customWidth="1"/>
    <col min="11780" max="11780" width="12.81640625" style="263" hidden="1" customWidth="1"/>
    <col min="11781" max="11786" width="12.1796875" style="263" hidden="1" customWidth="1"/>
    <col min="11787" max="11797" width="8.81640625" style="263" hidden="1" customWidth="1"/>
    <col min="11798" max="12032" width="8.81640625" style="263" hidden="1"/>
    <col min="12033" max="12033" width="32.7265625" style="263" hidden="1" customWidth="1"/>
    <col min="12034" max="12035" width="12.1796875" style="263" hidden="1" customWidth="1"/>
    <col min="12036" max="12036" width="12.81640625" style="263" hidden="1" customWidth="1"/>
    <col min="12037" max="12042" width="12.1796875" style="263" hidden="1" customWidth="1"/>
    <col min="12043" max="12053" width="8.81640625" style="263" hidden="1" customWidth="1"/>
    <col min="12054" max="12288" width="8.81640625" style="263" hidden="1"/>
    <col min="12289" max="12289" width="32.7265625" style="263" hidden="1" customWidth="1"/>
    <col min="12290" max="12291" width="12.1796875" style="263" hidden="1" customWidth="1"/>
    <col min="12292" max="12292" width="12.81640625" style="263" hidden="1" customWidth="1"/>
    <col min="12293" max="12298" width="12.1796875" style="263" hidden="1" customWidth="1"/>
    <col min="12299" max="12309" width="8.81640625" style="263" hidden="1" customWidth="1"/>
    <col min="12310" max="12544" width="8.81640625" style="263" hidden="1"/>
    <col min="12545" max="12545" width="32.7265625" style="263" hidden="1" customWidth="1"/>
    <col min="12546" max="12547" width="12.1796875" style="263" hidden="1" customWidth="1"/>
    <col min="12548" max="12548" width="12.81640625" style="263" hidden="1" customWidth="1"/>
    <col min="12549" max="12554" width="12.1796875" style="263" hidden="1" customWidth="1"/>
    <col min="12555" max="12565" width="8.81640625" style="263" hidden="1" customWidth="1"/>
    <col min="12566" max="12800" width="8.81640625" style="263" hidden="1"/>
    <col min="12801" max="12801" width="32.7265625" style="263" hidden="1" customWidth="1"/>
    <col min="12802" max="12803" width="12.1796875" style="263" hidden="1" customWidth="1"/>
    <col min="12804" max="12804" width="12.81640625" style="263" hidden="1" customWidth="1"/>
    <col min="12805" max="12810" width="12.1796875" style="263" hidden="1" customWidth="1"/>
    <col min="12811" max="12821" width="8.81640625" style="263" hidden="1" customWidth="1"/>
    <col min="12822" max="13056" width="8.81640625" style="263" hidden="1"/>
    <col min="13057" max="13057" width="32.7265625" style="263" hidden="1" customWidth="1"/>
    <col min="13058" max="13059" width="12.1796875" style="263" hidden="1" customWidth="1"/>
    <col min="13060" max="13060" width="12.81640625" style="263" hidden="1" customWidth="1"/>
    <col min="13061" max="13066" width="12.1796875" style="263" hidden="1" customWidth="1"/>
    <col min="13067" max="13077" width="8.81640625" style="263" hidden="1" customWidth="1"/>
    <col min="13078" max="13312" width="8.81640625" style="263" hidden="1"/>
    <col min="13313" max="13313" width="32.7265625" style="263" hidden="1" customWidth="1"/>
    <col min="13314" max="13315" width="12.1796875" style="263" hidden="1" customWidth="1"/>
    <col min="13316" max="13316" width="12.81640625" style="263" hidden="1" customWidth="1"/>
    <col min="13317" max="13322" width="12.1796875" style="263" hidden="1" customWidth="1"/>
    <col min="13323" max="13333" width="8.81640625" style="263" hidden="1" customWidth="1"/>
    <col min="13334" max="13568" width="8.81640625" style="263" hidden="1"/>
    <col min="13569" max="13569" width="32.7265625" style="263" hidden="1" customWidth="1"/>
    <col min="13570" max="13571" width="12.1796875" style="263" hidden="1" customWidth="1"/>
    <col min="13572" max="13572" width="12.81640625" style="263" hidden="1" customWidth="1"/>
    <col min="13573" max="13578" width="12.1796875" style="263" hidden="1" customWidth="1"/>
    <col min="13579" max="13589" width="8.81640625" style="263" hidden="1" customWidth="1"/>
    <col min="13590" max="13824" width="8.81640625" style="263" hidden="1"/>
    <col min="13825" max="13825" width="32.7265625" style="263" hidden="1" customWidth="1"/>
    <col min="13826" max="13827" width="12.1796875" style="263" hidden="1" customWidth="1"/>
    <col min="13828" max="13828" width="12.81640625" style="263" hidden="1" customWidth="1"/>
    <col min="13829" max="13834" width="12.1796875" style="263" hidden="1" customWidth="1"/>
    <col min="13835" max="13845" width="8.81640625" style="263" hidden="1" customWidth="1"/>
    <col min="13846" max="14080" width="8.81640625" style="263" hidden="1"/>
    <col min="14081" max="14081" width="32.7265625" style="263" hidden="1" customWidth="1"/>
    <col min="14082" max="14083" width="12.1796875" style="263" hidden="1" customWidth="1"/>
    <col min="14084" max="14084" width="12.81640625" style="263" hidden="1" customWidth="1"/>
    <col min="14085" max="14090" width="12.1796875" style="263" hidden="1" customWidth="1"/>
    <col min="14091" max="14101" width="8.81640625" style="263" hidden="1" customWidth="1"/>
    <col min="14102" max="14336" width="8.81640625" style="263" hidden="1"/>
    <col min="14337" max="14337" width="32.7265625" style="263" hidden="1" customWidth="1"/>
    <col min="14338" max="14339" width="12.1796875" style="263" hidden="1" customWidth="1"/>
    <col min="14340" max="14340" width="12.81640625" style="263" hidden="1" customWidth="1"/>
    <col min="14341" max="14346" width="12.1796875" style="263" hidden="1" customWidth="1"/>
    <col min="14347" max="14357" width="8.81640625" style="263" hidden="1" customWidth="1"/>
    <col min="14358" max="14592" width="8.81640625" style="263" hidden="1"/>
    <col min="14593" max="14593" width="32.7265625" style="263" hidden="1" customWidth="1"/>
    <col min="14594" max="14595" width="12.1796875" style="263" hidden="1" customWidth="1"/>
    <col min="14596" max="14596" width="12.81640625" style="263" hidden="1" customWidth="1"/>
    <col min="14597" max="14602" width="12.1796875" style="263" hidden="1" customWidth="1"/>
    <col min="14603" max="14613" width="8.81640625" style="263" hidden="1" customWidth="1"/>
    <col min="14614" max="14848" width="8.81640625" style="263" hidden="1"/>
    <col min="14849" max="14849" width="32.7265625" style="263" hidden="1" customWidth="1"/>
    <col min="14850" max="14851" width="12.1796875" style="263" hidden="1" customWidth="1"/>
    <col min="14852" max="14852" width="12.81640625" style="263" hidden="1" customWidth="1"/>
    <col min="14853" max="14858" width="12.1796875" style="263" hidden="1" customWidth="1"/>
    <col min="14859" max="14869" width="8.81640625" style="263" hidden="1" customWidth="1"/>
    <col min="14870" max="15104" width="8.81640625" style="263" hidden="1"/>
    <col min="15105" max="15105" width="32.7265625" style="263" hidden="1" customWidth="1"/>
    <col min="15106" max="15107" width="12.1796875" style="263" hidden="1" customWidth="1"/>
    <col min="15108" max="15108" width="12.81640625" style="263" hidden="1" customWidth="1"/>
    <col min="15109" max="15114" width="12.1796875" style="263" hidden="1" customWidth="1"/>
    <col min="15115" max="15125" width="8.81640625" style="263" hidden="1" customWidth="1"/>
    <col min="15126" max="15360" width="8.81640625" style="263" hidden="1"/>
    <col min="15361" max="15361" width="32.7265625" style="263" hidden="1" customWidth="1"/>
    <col min="15362" max="15363" width="12.1796875" style="263" hidden="1" customWidth="1"/>
    <col min="15364" max="15364" width="12.81640625" style="263" hidden="1" customWidth="1"/>
    <col min="15365" max="15370" width="12.1796875" style="263" hidden="1" customWidth="1"/>
    <col min="15371" max="15381" width="8.81640625" style="263" hidden="1" customWidth="1"/>
    <col min="15382" max="15616" width="8.81640625" style="263" hidden="1"/>
    <col min="15617" max="15617" width="32.7265625" style="263" hidden="1" customWidth="1"/>
    <col min="15618" max="15619" width="12.1796875" style="263" hidden="1" customWidth="1"/>
    <col min="15620" max="15620" width="12.81640625" style="263" hidden="1" customWidth="1"/>
    <col min="15621" max="15626" width="12.1796875" style="263" hidden="1" customWidth="1"/>
    <col min="15627" max="15637" width="8.81640625" style="263" hidden="1" customWidth="1"/>
    <col min="15638" max="15872" width="8.81640625" style="263" hidden="1"/>
    <col min="15873" max="15873" width="32.7265625" style="263" hidden="1" customWidth="1"/>
    <col min="15874" max="15875" width="12.1796875" style="263" hidden="1" customWidth="1"/>
    <col min="15876" max="15876" width="12.81640625" style="263" hidden="1" customWidth="1"/>
    <col min="15877" max="15882" width="12.1796875" style="263" hidden="1" customWidth="1"/>
    <col min="15883" max="15893" width="8.81640625" style="263" hidden="1" customWidth="1"/>
    <col min="15894" max="16128" width="8.81640625" style="263" hidden="1"/>
    <col min="16129" max="16129" width="32.7265625" style="263" hidden="1" customWidth="1"/>
    <col min="16130" max="16131" width="12.1796875" style="263" hidden="1" customWidth="1"/>
    <col min="16132" max="16132" width="12.81640625" style="263" hidden="1" customWidth="1"/>
    <col min="16133" max="16138" width="12.1796875" style="263" hidden="1" customWidth="1"/>
    <col min="16139" max="16149" width="8.81640625" style="263" hidden="1" customWidth="1"/>
    <col min="16150" max="16384" width="8.81640625" style="263" hidden="1"/>
  </cols>
  <sheetData>
    <row r="1" spans="1:11" s="229" customFormat="1" ht="13">
      <c r="A1" s="1801" t="s">
        <v>1892</v>
      </c>
      <c r="B1" s="1802"/>
      <c r="C1" s="1802"/>
      <c r="D1" s="1802"/>
      <c r="E1" s="1802"/>
      <c r="F1" s="1802"/>
      <c r="G1" s="1802"/>
      <c r="H1" s="1802"/>
      <c r="I1" s="1802"/>
      <c r="J1" s="1803"/>
      <c r="K1" s="228"/>
    </row>
    <row r="2" spans="1:11" s="271" customFormat="1" ht="69">
      <c r="A2" s="268"/>
      <c r="B2" s="269" t="s">
        <v>1893</v>
      </c>
      <c r="C2" s="269" t="s">
        <v>1894</v>
      </c>
      <c r="D2" s="269" t="s">
        <v>1895</v>
      </c>
      <c r="E2" s="269" t="s">
        <v>1896</v>
      </c>
      <c r="F2" s="269" t="s">
        <v>1897</v>
      </c>
      <c r="G2" s="269" t="s">
        <v>1898</v>
      </c>
      <c r="H2" s="269" t="s">
        <v>1899</v>
      </c>
      <c r="I2" s="269" t="s">
        <v>1900</v>
      </c>
      <c r="J2" s="269" t="s">
        <v>1901</v>
      </c>
      <c r="K2" s="270"/>
    </row>
    <row r="3" spans="1:11" s="233" customFormat="1" ht="12">
      <c r="A3" s="230" t="s">
        <v>1775</v>
      </c>
      <c r="B3" s="231"/>
      <c r="C3" s="231"/>
      <c r="D3" s="231"/>
      <c r="E3" s="231"/>
      <c r="F3" s="231"/>
      <c r="G3" s="231"/>
      <c r="H3" s="231"/>
      <c r="I3" s="231"/>
      <c r="J3" s="231"/>
      <c r="K3" s="232"/>
    </row>
    <row r="4" spans="1:11" s="233" customFormat="1">
      <c r="A4" s="237" t="s">
        <v>1776</v>
      </c>
      <c r="B4" s="234">
        <f>'Sources and Uses Budget'!C4</f>
        <v>975794</v>
      </c>
      <c r="C4" s="235"/>
      <c r="D4" s="235"/>
      <c r="E4" s="236"/>
      <c r="F4" s="236"/>
      <c r="G4" s="236"/>
      <c r="H4" s="236"/>
      <c r="I4" s="236"/>
      <c r="J4" s="236"/>
      <c r="K4" s="232"/>
    </row>
    <row r="5" spans="1:11" s="233" customFormat="1">
      <c r="A5" s="237" t="s">
        <v>691</v>
      </c>
      <c r="B5" s="234">
        <f>'Sources and Uses Budget'!C5</f>
        <v>0</v>
      </c>
      <c r="C5" s="235"/>
      <c r="D5" s="235"/>
      <c r="E5" s="236"/>
      <c r="F5" s="236"/>
      <c r="G5" s="236"/>
      <c r="H5" s="236"/>
      <c r="I5" s="236"/>
      <c r="J5" s="236"/>
      <c r="K5" s="232"/>
    </row>
    <row r="6" spans="1:11" s="233" customFormat="1">
      <c r="A6" s="237" t="s">
        <v>1777</v>
      </c>
      <c r="B6" s="234">
        <f>'Sources and Uses Budget'!C6</f>
        <v>49999</v>
      </c>
      <c r="C6" s="235"/>
      <c r="D6" s="235"/>
      <c r="E6" s="236"/>
      <c r="F6" s="236"/>
      <c r="G6" s="236"/>
      <c r="H6" s="236"/>
      <c r="I6" s="236"/>
      <c r="J6" s="236"/>
      <c r="K6" s="232"/>
    </row>
    <row r="7" spans="1:11" s="233" customFormat="1">
      <c r="A7" s="237" t="s">
        <v>1778</v>
      </c>
      <c r="B7" s="234">
        <f>'Sources and Uses Budget'!C7</f>
        <v>0</v>
      </c>
      <c r="C7" s="235"/>
      <c r="D7" s="235"/>
      <c r="E7" s="236"/>
      <c r="F7" s="236"/>
      <c r="G7" s="236"/>
      <c r="H7" s="236"/>
      <c r="I7" s="236"/>
      <c r="J7" s="236"/>
      <c r="K7" s="232"/>
    </row>
    <row r="8" spans="1:11" s="233" customFormat="1">
      <c r="A8" s="238" t="s">
        <v>1779</v>
      </c>
      <c r="B8" s="234">
        <f>'Sources and Uses Budget'!C8</f>
        <v>1025793</v>
      </c>
      <c r="C8" s="234">
        <f>SUM(C4:C7)</f>
        <v>0</v>
      </c>
      <c r="D8" s="234">
        <f>SUM(D4:D7)</f>
        <v>0</v>
      </c>
      <c r="E8" s="236"/>
      <c r="F8" s="236"/>
      <c r="G8" s="236"/>
      <c r="H8" s="236"/>
      <c r="I8" s="236"/>
      <c r="J8" s="236"/>
      <c r="K8" s="232"/>
    </row>
    <row r="9" spans="1:11" s="233" customFormat="1">
      <c r="A9" s="237" t="s">
        <v>1780</v>
      </c>
      <c r="B9" s="234">
        <f>'Sources and Uses Budget'!C9</f>
        <v>0</v>
      </c>
      <c r="C9" s="235"/>
      <c r="D9" s="235"/>
      <c r="E9" s="236"/>
      <c r="F9" s="236"/>
      <c r="G9" s="236"/>
      <c r="H9" s="234">
        <f>'Sources and Uses Budget'!T9</f>
        <v>0</v>
      </c>
      <c r="I9" s="235"/>
      <c r="J9" s="235"/>
      <c r="K9" s="232"/>
    </row>
    <row r="10" spans="1:11" s="233" customFormat="1">
      <c r="A10" s="237" t="s">
        <v>1781</v>
      </c>
      <c r="B10" s="234">
        <f>'Sources and Uses Budget'!C10</f>
        <v>850000</v>
      </c>
      <c r="C10" s="235"/>
      <c r="D10" s="235"/>
      <c r="E10" s="234">
        <f>'Sources and Uses Budget'!S10</f>
        <v>850000</v>
      </c>
      <c r="F10" s="235"/>
      <c r="G10" s="235"/>
      <c r="H10" s="234">
        <f>'Sources and Uses Budget'!T10</f>
        <v>0</v>
      </c>
      <c r="I10" s="235"/>
      <c r="J10" s="235"/>
      <c r="K10" s="232"/>
    </row>
    <row r="11" spans="1:11" s="233" customFormat="1">
      <c r="A11" s="238" t="s">
        <v>1782</v>
      </c>
      <c r="B11" s="234">
        <f>'Sources and Uses Budget'!C11</f>
        <v>850000</v>
      </c>
      <c r="C11" s="234">
        <f>SUM(C9:C10)</f>
        <v>0</v>
      </c>
      <c r="D11" s="234">
        <f>SUM(D9:D10)</f>
        <v>0</v>
      </c>
      <c r="E11" s="236"/>
      <c r="F11" s="236"/>
      <c r="G11" s="236"/>
      <c r="H11" s="234">
        <f>'Sources and Uses Budget'!T11</f>
        <v>0</v>
      </c>
      <c r="I11" s="234">
        <f>SUM(I9:I10)</f>
        <v>0</v>
      </c>
      <c r="J11" s="234">
        <f>SUM(J9:J10)</f>
        <v>0</v>
      </c>
      <c r="K11" s="232"/>
    </row>
    <row r="12" spans="1:11" s="233" customFormat="1">
      <c r="A12" s="238" t="s">
        <v>1783</v>
      </c>
      <c r="B12" s="234">
        <f>'Sources and Uses Budget'!C12</f>
        <v>1875793</v>
      </c>
      <c r="C12" s="234">
        <f>SUM(C8+C11)</f>
        <v>0</v>
      </c>
      <c r="D12" s="234">
        <f>SUM(D8+D11)</f>
        <v>0</v>
      </c>
      <c r="E12" s="236"/>
      <c r="F12" s="236"/>
      <c r="G12" s="236"/>
      <c r="H12" s="236"/>
      <c r="I12" s="236"/>
      <c r="J12" s="236"/>
      <c r="K12" s="232"/>
    </row>
    <row r="13" spans="1:11" s="233" customFormat="1">
      <c r="A13" s="239" t="s">
        <v>1784</v>
      </c>
      <c r="B13" s="234">
        <f>'Sources and Uses Budget'!C13</f>
        <v>0</v>
      </c>
      <c r="C13" s="235"/>
      <c r="D13" s="235"/>
      <c r="E13" s="234">
        <f>'Sources and Uses Budget'!S13</f>
        <v>0</v>
      </c>
      <c r="F13" s="235"/>
      <c r="G13" s="235"/>
      <c r="H13" s="234">
        <f>'Sources and Uses Budget'!T13</f>
        <v>0</v>
      </c>
      <c r="I13" s="235"/>
      <c r="J13" s="235"/>
      <c r="K13" s="232"/>
    </row>
    <row r="14" spans="1:11" s="233" customFormat="1" ht="23">
      <c r="A14" s="237" t="s">
        <v>1902</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1786</v>
      </c>
      <c r="B15" s="234">
        <f>'Sources and Uses Budget'!C15</f>
        <v>0</v>
      </c>
      <c r="C15" s="235"/>
      <c r="D15" s="235"/>
      <c r="E15" s="236">
        <f>'Sources and Uses Budget'!S15</f>
        <v>0</v>
      </c>
      <c r="F15" s="236"/>
      <c r="G15" s="236"/>
      <c r="H15" s="236">
        <f>'Sources and Uses Budget'!T15</f>
        <v>0</v>
      </c>
      <c r="I15" s="236"/>
      <c r="J15" s="236"/>
      <c r="K15" s="232"/>
    </row>
    <row r="16" spans="1:11" s="233" customFormat="1" ht="12">
      <c r="A16" s="230" t="s">
        <v>1787</v>
      </c>
      <c r="B16" s="231"/>
      <c r="C16" s="231"/>
      <c r="D16" s="231"/>
      <c r="E16" s="231"/>
      <c r="F16" s="231"/>
      <c r="G16" s="231"/>
      <c r="H16" s="231"/>
      <c r="I16" s="231"/>
      <c r="J16" s="231"/>
      <c r="K16" s="232"/>
    </row>
    <row r="17" spans="1:11" s="233" customFormat="1">
      <c r="A17" s="237" t="s">
        <v>1788</v>
      </c>
      <c r="B17" s="234">
        <f>'Sources and Uses Budget'!C17</f>
        <v>0</v>
      </c>
      <c r="C17" s="235"/>
      <c r="D17" s="235"/>
      <c r="E17" s="234">
        <f>'Sources and Uses Budget'!S17</f>
        <v>0</v>
      </c>
      <c r="F17" s="235"/>
      <c r="G17" s="235"/>
      <c r="H17" s="234">
        <f>'Sources and Uses Budget'!T17</f>
        <v>0</v>
      </c>
      <c r="I17" s="235"/>
      <c r="J17" s="235"/>
      <c r="K17" s="232"/>
    </row>
    <row r="18" spans="1:11" s="233" customFormat="1">
      <c r="A18" s="237" t="s">
        <v>1789</v>
      </c>
      <c r="B18" s="234">
        <f>'Sources and Uses Budget'!C18</f>
        <v>0</v>
      </c>
      <c r="C18" s="235"/>
      <c r="D18" s="235"/>
      <c r="E18" s="234">
        <f>'Sources and Uses Budget'!S18</f>
        <v>0</v>
      </c>
      <c r="F18" s="235"/>
      <c r="G18" s="235"/>
      <c r="H18" s="234">
        <f>'Sources and Uses Budget'!T18</f>
        <v>0</v>
      </c>
      <c r="I18" s="235"/>
      <c r="J18" s="235"/>
      <c r="K18" s="232"/>
    </row>
    <row r="19" spans="1:11" s="233" customFormat="1">
      <c r="A19" s="237" t="s">
        <v>1790</v>
      </c>
      <c r="B19" s="234">
        <f>'Sources and Uses Budget'!C19</f>
        <v>0</v>
      </c>
      <c r="C19" s="235"/>
      <c r="D19" s="235"/>
      <c r="E19" s="234">
        <f>'Sources and Uses Budget'!S19</f>
        <v>0</v>
      </c>
      <c r="F19" s="235"/>
      <c r="G19" s="235"/>
      <c r="H19" s="234">
        <f>'Sources and Uses Budget'!T19</f>
        <v>0</v>
      </c>
      <c r="I19" s="235"/>
      <c r="J19" s="235"/>
      <c r="K19" s="232"/>
    </row>
    <row r="20" spans="1:11" s="233" customFormat="1">
      <c r="A20" s="237" t="s">
        <v>1791</v>
      </c>
      <c r="B20" s="234">
        <f>'Sources and Uses Budget'!C20</f>
        <v>0</v>
      </c>
      <c r="C20" s="235"/>
      <c r="D20" s="235"/>
      <c r="E20" s="234">
        <f>'Sources and Uses Budget'!S20</f>
        <v>0</v>
      </c>
      <c r="F20" s="235"/>
      <c r="G20" s="235"/>
      <c r="H20" s="234">
        <f>'Sources and Uses Budget'!T20</f>
        <v>0</v>
      </c>
      <c r="I20" s="235"/>
      <c r="J20" s="235"/>
      <c r="K20" s="232"/>
    </row>
    <row r="21" spans="1:11" s="233" customFormat="1">
      <c r="A21" s="237" t="s">
        <v>1792</v>
      </c>
      <c r="B21" s="234">
        <f>'Sources and Uses Budget'!C21</f>
        <v>0</v>
      </c>
      <c r="C21" s="235"/>
      <c r="D21" s="235"/>
      <c r="E21" s="234">
        <f>'Sources and Uses Budget'!S21</f>
        <v>0</v>
      </c>
      <c r="F21" s="235"/>
      <c r="G21" s="235"/>
      <c r="H21" s="234">
        <f>'Sources and Uses Budget'!T21</f>
        <v>0</v>
      </c>
      <c r="I21" s="235"/>
      <c r="J21" s="235"/>
      <c r="K21" s="232"/>
    </row>
    <row r="22" spans="1:11" s="233" customFormat="1">
      <c r="A22" s="237" t="s">
        <v>1793</v>
      </c>
      <c r="B22" s="234">
        <f>'Sources and Uses Budget'!C22</f>
        <v>0</v>
      </c>
      <c r="C22" s="235"/>
      <c r="D22" s="235"/>
      <c r="E22" s="234">
        <f>'Sources and Uses Budget'!S22</f>
        <v>0</v>
      </c>
      <c r="F22" s="235"/>
      <c r="G22" s="235"/>
      <c r="H22" s="234">
        <f>'Sources and Uses Budget'!T22</f>
        <v>0</v>
      </c>
      <c r="I22" s="235"/>
      <c r="J22" s="235"/>
      <c r="K22" s="232"/>
    </row>
    <row r="23" spans="1:11" s="233" customFormat="1">
      <c r="A23" s="237" t="s">
        <v>1794</v>
      </c>
      <c r="B23" s="234">
        <f>'Sources and Uses Budget'!C23</f>
        <v>0</v>
      </c>
      <c r="C23" s="235"/>
      <c r="D23" s="235"/>
      <c r="E23" s="234">
        <f>'Sources and Uses Budget'!S23</f>
        <v>0</v>
      </c>
      <c r="F23" s="235"/>
      <c r="G23" s="235"/>
      <c r="H23" s="234">
        <f>'Sources and Uses Budget'!T23</f>
        <v>0</v>
      </c>
      <c r="I23" s="235"/>
      <c r="J23" s="235"/>
      <c r="K23" s="232"/>
    </row>
    <row r="24" spans="1:11" s="233" customFormat="1">
      <c r="A24" s="360" t="s">
        <v>1795</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1797</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1798</v>
      </c>
      <c r="B27" s="234">
        <f>'Sources and Uses Budget'!C27</f>
        <v>0</v>
      </c>
      <c r="C27" s="235"/>
      <c r="D27" s="235"/>
      <c r="E27" s="234">
        <f>'Sources and Uses Budget'!S27</f>
        <v>0</v>
      </c>
      <c r="F27" s="235"/>
      <c r="G27" s="235"/>
      <c r="H27" s="234">
        <f>'Sources and Uses Budget'!T27</f>
        <v>0</v>
      </c>
      <c r="I27" s="235"/>
      <c r="J27" s="235"/>
      <c r="K27" s="232"/>
    </row>
    <row r="28" spans="1:11" s="233" customFormat="1" ht="12">
      <c r="A28" s="230" t="s">
        <v>1799</v>
      </c>
      <c r="B28" s="231"/>
      <c r="C28" s="231"/>
      <c r="D28" s="231"/>
      <c r="E28" s="231"/>
      <c r="F28" s="231"/>
      <c r="G28" s="231"/>
      <c r="H28" s="231"/>
      <c r="I28" s="231"/>
      <c r="J28" s="231"/>
      <c r="K28" s="232"/>
    </row>
    <row r="29" spans="1:11" s="233" customFormat="1">
      <c r="A29" s="170" t="s">
        <v>1788</v>
      </c>
      <c r="B29" s="234">
        <f>'Sources and Uses Budget'!C29</f>
        <v>1845072</v>
      </c>
      <c r="C29" s="235"/>
      <c r="D29" s="235"/>
      <c r="E29" s="234">
        <f>'Sources and Uses Budget'!S29</f>
        <v>1845072</v>
      </c>
      <c r="F29" s="235"/>
      <c r="G29" s="235"/>
      <c r="H29" s="234">
        <f>'Sources and Uses Budget'!T29</f>
        <v>0</v>
      </c>
      <c r="I29" s="235"/>
      <c r="J29" s="235"/>
      <c r="K29" s="232"/>
    </row>
    <row r="30" spans="1:11" s="233" customFormat="1">
      <c r="A30" s="170" t="s">
        <v>1789</v>
      </c>
      <c r="B30" s="234">
        <f>'Sources and Uses Budget'!C30</f>
        <v>17665981</v>
      </c>
      <c r="C30" s="235"/>
      <c r="D30" s="235"/>
      <c r="E30" s="234">
        <f>'Sources and Uses Budget'!S30</f>
        <v>17665981</v>
      </c>
      <c r="F30" s="235"/>
      <c r="G30" s="235"/>
      <c r="H30" s="234">
        <f>'Sources and Uses Budget'!T30</f>
        <v>0</v>
      </c>
      <c r="I30" s="235"/>
      <c r="J30" s="235"/>
      <c r="K30" s="232"/>
    </row>
    <row r="31" spans="1:11" s="233" customFormat="1">
      <c r="A31" s="170" t="s">
        <v>1790</v>
      </c>
      <c r="B31" s="234">
        <f>'Sources and Uses Budget'!C31</f>
        <v>1300000</v>
      </c>
      <c r="C31" s="235"/>
      <c r="D31" s="235"/>
      <c r="E31" s="234">
        <f>'Sources and Uses Budget'!S31</f>
        <v>1300000</v>
      </c>
      <c r="F31" s="235"/>
      <c r="G31" s="235"/>
      <c r="H31" s="234">
        <f>'Sources and Uses Budget'!T31</f>
        <v>0</v>
      </c>
      <c r="I31" s="235"/>
      <c r="J31" s="235"/>
      <c r="K31" s="232"/>
    </row>
    <row r="32" spans="1:11" s="233" customFormat="1">
      <c r="A32" s="170" t="s">
        <v>1791</v>
      </c>
      <c r="B32" s="234">
        <f>'Sources and Uses Budget'!C32</f>
        <v>750000</v>
      </c>
      <c r="C32" s="235"/>
      <c r="D32" s="235"/>
      <c r="E32" s="234">
        <f>'Sources and Uses Budget'!S32</f>
        <v>750000</v>
      </c>
      <c r="F32" s="235"/>
      <c r="G32" s="235"/>
      <c r="H32" s="234">
        <f>'Sources and Uses Budget'!T32</f>
        <v>0</v>
      </c>
      <c r="I32" s="235"/>
      <c r="J32" s="235"/>
      <c r="K32" s="232"/>
    </row>
    <row r="33" spans="1:11" s="233" customFormat="1">
      <c r="A33" s="170" t="s">
        <v>1792</v>
      </c>
      <c r="B33" s="234">
        <f>'Sources and Uses Budget'!C33</f>
        <v>750000</v>
      </c>
      <c r="C33" s="235"/>
      <c r="D33" s="235"/>
      <c r="E33" s="234">
        <f>'Sources and Uses Budget'!S33</f>
        <v>750000</v>
      </c>
      <c r="F33" s="235"/>
      <c r="G33" s="235"/>
      <c r="H33" s="234">
        <f>'Sources and Uses Budget'!T33</f>
        <v>0</v>
      </c>
      <c r="I33" s="235"/>
      <c r="J33" s="235"/>
      <c r="K33" s="232"/>
    </row>
    <row r="34" spans="1:11" s="233" customFormat="1">
      <c r="A34" s="170" t="s">
        <v>1793</v>
      </c>
      <c r="B34" s="234">
        <f>'Sources and Uses Budget'!C34</f>
        <v>2000000</v>
      </c>
      <c r="C34" s="235"/>
      <c r="D34" s="235"/>
      <c r="E34" s="234">
        <f>'Sources and Uses Budget'!S34</f>
        <v>2000000</v>
      </c>
      <c r="F34" s="235"/>
      <c r="G34" s="235"/>
      <c r="H34" s="234">
        <f>'Sources and Uses Budget'!T34</f>
        <v>0</v>
      </c>
      <c r="I34" s="235"/>
      <c r="J34" s="235"/>
      <c r="K34" s="232"/>
    </row>
    <row r="35" spans="1:11" s="233" customFormat="1">
      <c r="A35" s="170" t="s">
        <v>1794</v>
      </c>
      <c r="B35" s="234">
        <f>'Sources and Uses Budget'!C35</f>
        <v>150000</v>
      </c>
      <c r="C35" s="235"/>
      <c r="D35" s="235"/>
      <c r="E35" s="234">
        <f>'Sources and Uses Budget'!S35</f>
        <v>150000</v>
      </c>
      <c r="F35" s="235"/>
      <c r="G35" s="235"/>
      <c r="H35" s="234">
        <f>'Sources and Uses Budget'!T35</f>
        <v>0</v>
      </c>
      <c r="I35" s="235"/>
      <c r="J35" s="235"/>
      <c r="K35" s="232"/>
    </row>
    <row r="36" spans="1:11" s="233" customFormat="1">
      <c r="A36" s="360" t="s">
        <v>1795</v>
      </c>
      <c r="B36" s="234">
        <f>'Sources and Uses Budget'!C36</f>
        <v>0</v>
      </c>
      <c r="C36" s="235"/>
      <c r="D36" s="235"/>
      <c r="E36" s="234">
        <f>'Sources and Uses Budget'!S36</f>
        <v>0</v>
      </c>
      <c r="F36" s="235"/>
      <c r="G36" s="235"/>
      <c r="H36" s="234">
        <f>'Sources and Uses Budget'!T36</f>
        <v>0</v>
      </c>
      <c r="I36" s="235"/>
      <c r="J36" s="235"/>
      <c r="K36" s="232"/>
    </row>
    <row r="37" spans="1:11" s="233" customFormat="1">
      <c r="A37" s="237" t="str">
        <f>'Sources and Uses Budget'!$A37</f>
        <v>Other: PhotoVoltaic System</v>
      </c>
      <c r="B37" s="234">
        <f>'Sources and Uses Budget'!C37</f>
        <v>900000</v>
      </c>
      <c r="C37" s="235"/>
      <c r="D37" s="235"/>
      <c r="E37" s="234">
        <f>'Sources and Uses Budget'!S37</f>
        <v>900000</v>
      </c>
      <c r="F37" s="235"/>
      <c r="G37" s="235"/>
      <c r="H37" s="234">
        <f>'Sources and Uses Budget'!T37</f>
        <v>0</v>
      </c>
      <c r="I37" s="235"/>
      <c r="J37" s="235"/>
      <c r="K37" s="232"/>
    </row>
    <row r="38" spans="1:11" s="233" customFormat="1">
      <c r="A38" s="238" t="s">
        <v>1801</v>
      </c>
      <c r="B38" s="234">
        <f>'Sources and Uses Budget'!C38</f>
        <v>25361053</v>
      </c>
      <c r="C38" s="234">
        <f>SUM(C29:C37)</f>
        <v>0</v>
      </c>
      <c r="D38" s="234">
        <f>SUM(D29:D37)</f>
        <v>0</v>
      </c>
      <c r="E38" s="234">
        <f>'Sources and Uses Budget'!S38</f>
        <v>25361053</v>
      </c>
      <c r="F38" s="240">
        <f>SUM(F29:F37)</f>
        <v>0</v>
      </c>
      <c r="G38" s="240">
        <f>SUM(G29:G37)</f>
        <v>0</v>
      </c>
      <c r="H38" s="234">
        <f>'Sources and Uses Budget'!T38</f>
        <v>0</v>
      </c>
      <c r="I38" s="240">
        <f>SUM(I29:I37)</f>
        <v>0</v>
      </c>
      <c r="J38" s="240">
        <f>SUM(J29:J37)</f>
        <v>0</v>
      </c>
      <c r="K38" s="232"/>
    </row>
    <row r="39" spans="1:11" s="233" customFormat="1" ht="12">
      <c r="A39" s="230" t="s">
        <v>1802</v>
      </c>
      <c r="B39" s="231"/>
      <c r="C39" s="231"/>
      <c r="D39" s="231"/>
      <c r="E39" s="231"/>
      <c r="F39" s="231"/>
      <c r="G39" s="231"/>
      <c r="H39" s="231"/>
      <c r="I39" s="231"/>
      <c r="J39" s="231"/>
      <c r="K39" s="232"/>
    </row>
    <row r="40" spans="1:11" s="233" customFormat="1">
      <c r="A40" s="237" t="s">
        <v>1803</v>
      </c>
      <c r="B40" s="234">
        <f>'Sources and Uses Budget'!C40</f>
        <v>600000</v>
      </c>
      <c r="C40" s="235"/>
      <c r="D40" s="235"/>
      <c r="E40" s="234">
        <f>'Sources and Uses Budget'!S40</f>
        <v>600000</v>
      </c>
      <c r="F40" s="235"/>
      <c r="G40" s="235"/>
      <c r="H40" s="234">
        <f>'Sources and Uses Budget'!T40</f>
        <v>0</v>
      </c>
      <c r="I40" s="235"/>
      <c r="J40" s="235"/>
      <c r="K40" s="232"/>
    </row>
    <row r="41" spans="1:11" s="233" customFormat="1">
      <c r="A41" s="237" t="s">
        <v>1804</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1805</v>
      </c>
      <c r="B42" s="234">
        <f>'Sources and Uses Budget'!C42</f>
        <v>600000</v>
      </c>
      <c r="C42" s="234">
        <f>SUM(C39:C41)</f>
        <v>0</v>
      </c>
      <c r="D42" s="234">
        <f>SUM(D39:D41)</f>
        <v>0</v>
      </c>
      <c r="E42" s="234">
        <f>'Sources and Uses Budget'!S42</f>
        <v>600000</v>
      </c>
      <c r="F42" s="240">
        <f>SUM(F40:F41)</f>
        <v>0</v>
      </c>
      <c r="G42" s="240">
        <f>SUM(G40:G41)</f>
        <v>0</v>
      </c>
      <c r="H42" s="234">
        <f>'Sources and Uses Budget'!T42</f>
        <v>0</v>
      </c>
      <c r="I42" s="240">
        <f>SUM(I40:I41)</f>
        <v>0</v>
      </c>
      <c r="J42" s="240">
        <f>SUM(J40:J41)</f>
        <v>0</v>
      </c>
      <c r="K42" s="232"/>
    </row>
    <row r="43" spans="1:11" s="233" customFormat="1">
      <c r="A43" s="238" t="s">
        <v>1806</v>
      </c>
      <c r="B43" s="234">
        <f>'Sources and Uses Budget'!C43</f>
        <v>200000</v>
      </c>
      <c r="C43" s="235"/>
      <c r="D43" s="235"/>
      <c r="E43" s="234">
        <f>'Sources and Uses Budget'!S43</f>
        <v>200000</v>
      </c>
      <c r="F43" s="235"/>
      <c r="G43" s="235"/>
      <c r="H43" s="234">
        <f>'Sources and Uses Budget'!T43</f>
        <v>0</v>
      </c>
      <c r="I43" s="235"/>
      <c r="J43" s="235"/>
      <c r="K43" s="232"/>
    </row>
    <row r="44" spans="1:11" s="233" customFormat="1" ht="12">
      <c r="A44" s="230" t="s">
        <v>1807</v>
      </c>
      <c r="B44" s="231"/>
      <c r="C44" s="231"/>
      <c r="D44" s="231"/>
      <c r="E44" s="231"/>
      <c r="F44" s="231"/>
      <c r="G44" s="231"/>
      <c r="H44" s="231"/>
      <c r="I44" s="231"/>
      <c r="J44" s="231"/>
      <c r="K44" s="232"/>
    </row>
    <row r="45" spans="1:11" s="233" customFormat="1">
      <c r="A45" s="237" t="s">
        <v>1808</v>
      </c>
      <c r="B45" s="234">
        <f>'Sources and Uses Budget'!C45</f>
        <v>1448964</v>
      </c>
      <c r="C45" s="235"/>
      <c r="D45" s="235"/>
      <c r="E45" s="234">
        <f>'Sources and Uses Budget'!S45</f>
        <v>652142</v>
      </c>
      <c r="F45" s="235"/>
      <c r="G45" s="235"/>
      <c r="H45" s="234">
        <f>'Sources and Uses Budget'!T45</f>
        <v>0</v>
      </c>
      <c r="I45" s="235"/>
      <c r="J45" s="235"/>
      <c r="K45" s="232"/>
    </row>
    <row r="46" spans="1:11" s="233" customFormat="1">
      <c r="A46" s="237" t="s">
        <v>1809</v>
      </c>
      <c r="B46" s="234">
        <f>'Sources and Uses Budget'!C46</f>
        <v>204463</v>
      </c>
      <c r="C46" s="235"/>
      <c r="D46" s="235"/>
      <c r="E46" s="234">
        <f>'Sources and Uses Budget'!S46</f>
        <v>92024</v>
      </c>
      <c r="F46" s="235"/>
      <c r="G46" s="235"/>
      <c r="H46" s="234">
        <f>'Sources and Uses Budget'!T46</f>
        <v>0</v>
      </c>
      <c r="I46" s="235"/>
      <c r="J46" s="235"/>
      <c r="K46" s="232"/>
    </row>
    <row r="47" spans="1:11" s="233" customFormat="1" ht="12" customHeight="1">
      <c r="A47" s="237" t="s">
        <v>1810</v>
      </c>
      <c r="B47" s="234">
        <f>'Sources and Uses Budget'!C47</f>
        <v>0</v>
      </c>
      <c r="C47" s="235"/>
      <c r="D47" s="235"/>
      <c r="E47" s="234">
        <f>'Sources and Uses Budget'!S47</f>
        <v>0</v>
      </c>
      <c r="F47" s="235"/>
      <c r="G47" s="235"/>
      <c r="H47" s="234">
        <f>'Sources and Uses Budget'!T47</f>
        <v>0</v>
      </c>
      <c r="I47" s="235"/>
      <c r="J47" s="235"/>
      <c r="K47" s="232"/>
    </row>
    <row r="48" spans="1:11" s="233" customFormat="1">
      <c r="A48" s="237" t="s">
        <v>1811</v>
      </c>
      <c r="B48" s="234">
        <f>'Sources and Uses Budget'!C48</f>
        <v>150000</v>
      </c>
      <c r="C48" s="235"/>
      <c r="D48" s="235"/>
      <c r="E48" s="234">
        <f>'Sources and Uses Budget'!S48</f>
        <v>150000</v>
      </c>
      <c r="F48" s="235"/>
      <c r="G48" s="235"/>
      <c r="H48" s="234">
        <f>'Sources and Uses Budget'!T48</f>
        <v>0</v>
      </c>
      <c r="I48" s="235"/>
      <c r="J48" s="235"/>
      <c r="K48" s="232"/>
    </row>
    <row r="49" spans="1:11" s="233" customFormat="1">
      <c r="A49" s="170" t="s">
        <v>1812</v>
      </c>
      <c r="B49" s="234">
        <f>'Sources and Uses Budget'!C49</f>
        <v>196536</v>
      </c>
      <c r="C49" s="235"/>
      <c r="D49" s="235"/>
      <c r="E49" s="234">
        <f>'Sources and Uses Budget'!S49</f>
        <v>58077</v>
      </c>
      <c r="F49" s="235"/>
      <c r="G49" s="235"/>
      <c r="H49" s="234">
        <f>'Sources and Uses Budget'!T49</f>
        <v>0</v>
      </c>
      <c r="I49" s="235"/>
      <c r="J49" s="235"/>
      <c r="K49" s="232"/>
    </row>
    <row r="50" spans="1:11" s="233" customFormat="1">
      <c r="A50" s="237" t="s">
        <v>1813</v>
      </c>
      <c r="B50" s="234">
        <f>'Sources and Uses Budget'!C50</f>
        <v>35000</v>
      </c>
      <c r="C50" s="235"/>
      <c r="D50" s="235"/>
      <c r="E50" s="234">
        <f>'Sources and Uses Budget'!S50</f>
        <v>35000</v>
      </c>
      <c r="F50" s="235"/>
      <c r="G50" s="235"/>
      <c r="H50" s="234">
        <f>'Sources and Uses Budget'!T50</f>
        <v>0</v>
      </c>
      <c r="I50" s="235"/>
      <c r="J50" s="235"/>
      <c r="K50" s="232"/>
    </row>
    <row r="51" spans="1:11" s="233" customFormat="1">
      <c r="A51" s="237" t="s">
        <v>1814</v>
      </c>
      <c r="B51" s="234">
        <f>'Sources and Uses Budget'!C51</f>
        <v>8000</v>
      </c>
      <c r="C51" s="235"/>
      <c r="D51" s="235"/>
      <c r="E51" s="234">
        <f>'Sources and Uses Budget'!S51</f>
        <v>8000</v>
      </c>
      <c r="F51" s="235"/>
      <c r="G51" s="235"/>
      <c r="H51" s="234">
        <f>'Sources and Uses Budget'!T51</f>
        <v>0</v>
      </c>
      <c r="I51" s="235"/>
      <c r="J51" s="235"/>
      <c r="K51" s="232"/>
    </row>
    <row r="52" spans="1:11" s="233" customFormat="1">
      <c r="A52" s="237" t="s">
        <v>1815</v>
      </c>
      <c r="B52" s="234">
        <f>'Sources and Uses Budget'!C52</f>
        <v>175000</v>
      </c>
      <c r="C52" s="235"/>
      <c r="D52" s="235"/>
      <c r="E52" s="234">
        <f>'Sources and Uses Budget'!S52</f>
        <v>175000</v>
      </c>
      <c r="F52" s="235"/>
      <c r="G52" s="235"/>
      <c r="H52" s="234">
        <f>'Sources and Uses Budget'!T52</f>
        <v>0</v>
      </c>
      <c r="I52" s="235"/>
      <c r="J52" s="235"/>
      <c r="K52" s="232"/>
    </row>
    <row r="53" spans="1:11" s="233" customFormat="1">
      <c r="A53" s="237" t="str">
        <f>'Sources and Uses Budget'!$A53</f>
        <v>Other: (Accrued Interest)</v>
      </c>
      <c r="B53" s="234">
        <f>'Sources and Uses Budget'!C53</f>
        <v>41392</v>
      </c>
      <c r="C53" s="235"/>
      <c r="D53" s="235"/>
      <c r="E53" s="234">
        <f>'Sources and Uses Budget'!S53</f>
        <v>28845</v>
      </c>
      <c r="F53" s="235"/>
      <c r="G53" s="235"/>
      <c r="H53" s="234">
        <f>'Sources and Uses Budget'!T53</f>
        <v>0</v>
      </c>
      <c r="I53" s="235"/>
      <c r="J53" s="235"/>
      <c r="K53" s="232"/>
    </row>
    <row r="54" spans="1:11" s="242" customFormat="1">
      <c r="A54" s="238" t="s">
        <v>1817</v>
      </c>
      <c r="B54" s="234">
        <f>'Sources and Uses Budget'!C54</f>
        <v>2259355</v>
      </c>
      <c r="C54" s="240">
        <f>SUM(C45:C53)</f>
        <v>0</v>
      </c>
      <c r="D54" s="240">
        <f>SUM(D45:D53)</f>
        <v>0</v>
      </c>
      <c r="E54" s="234">
        <f>'Sources and Uses Budget'!S54</f>
        <v>1199088</v>
      </c>
      <c r="F54" s="240">
        <f>SUM(F45:F53)</f>
        <v>0</v>
      </c>
      <c r="G54" s="240">
        <f>SUM(G45:G53)</f>
        <v>0</v>
      </c>
      <c r="H54" s="234">
        <f>'Sources and Uses Budget'!T54</f>
        <v>0</v>
      </c>
      <c r="I54" s="240">
        <f>SUM(I45:I53)</f>
        <v>0</v>
      </c>
      <c r="J54" s="240">
        <f>SUM(J45:J53)</f>
        <v>0</v>
      </c>
      <c r="K54" s="241"/>
    </row>
    <row r="55" spans="1:11" s="233" customFormat="1" ht="12">
      <c r="A55" s="230" t="s">
        <v>1354</v>
      </c>
      <c r="B55" s="231"/>
      <c r="C55" s="231"/>
      <c r="D55" s="231"/>
      <c r="E55" s="231"/>
      <c r="F55" s="231"/>
      <c r="G55" s="231"/>
      <c r="H55" s="231"/>
      <c r="I55" s="231"/>
      <c r="J55" s="231"/>
      <c r="K55" s="232"/>
    </row>
    <row r="56" spans="1:11" s="233" customFormat="1">
      <c r="A56" s="237" t="s">
        <v>1818</v>
      </c>
      <c r="B56" s="234">
        <f>'Sources and Uses Budget'!C56</f>
        <v>21150</v>
      </c>
      <c r="C56" s="235"/>
      <c r="D56" s="235"/>
      <c r="E56" s="236"/>
      <c r="F56" s="236"/>
      <c r="G56" s="236"/>
      <c r="H56" s="236"/>
      <c r="I56" s="236"/>
      <c r="J56" s="236"/>
      <c r="K56" s="232"/>
    </row>
    <row r="57" spans="1:11" s="233" customFormat="1" ht="12" customHeight="1">
      <c r="A57" s="237" t="s">
        <v>1810</v>
      </c>
      <c r="B57" s="234">
        <f>'Sources and Uses Budget'!C57</f>
        <v>0</v>
      </c>
      <c r="C57" s="235"/>
      <c r="D57" s="235"/>
      <c r="E57" s="236"/>
      <c r="F57" s="236"/>
      <c r="G57" s="236"/>
      <c r="H57" s="236"/>
      <c r="I57" s="236"/>
      <c r="J57" s="236"/>
      <c r="K57" s="232"/>
    </row>
    <row r="58" spans="1:11" s="233" customFormat="1">
      <c r="A58" s="237" t="s">
        <v>1813</v>
      </c>
      <c r="B58" s="234">
        <f>'Sources and Uses Budget'!C58</f>
        <v>10000</v>
      </c>
      <c r="C58" s="235"/>
      <c r="D58" s="235"/>
      <c r="E58" s="236"/>
      <c r="F58" s="236"/>
      <c r="G58" s="236"/>
      <c r="H58" s="236"/>
      <c r="I58" s="236"/>
      <c r="J58" s="236"/>
      <c r="K58" s="232"/>
    </row>
    <row r="59" spans="1:11" s="233" customFormat="1">
      <c r="A59" s="237" t="s">
        <v>1814</v>
      </c>
      <c r="B59" s="234">
        <f>'Sources and Uses Budget'!C59</f>
        <v>0</v>
      </c>
      <c r="C59" s="235"/>
      <c r="D59" s="235"/>
      <c r="E59" s="236"/>
      <c r="F59" s="236"/>
      <c r="G59" s="236"/>
      <c r="H59" s="236"/>
      <c r="I59" s="236"/>
      <c r="J59" s="236"/>
      <c r="K59" s="232"/>
    </row>
    <row r="60" spans="1:11" s="233" customFormat="1">
      <c r="A60" s="237" t="s">
        <v>1815</v>
      </c>
      <c r="B60" s="234">
        <f>'Sources and Uses Budget'!C60</f>
        <v>0</v>
      </c>
      <c r="C60" s="235"/>
      <c r="D60" s="235"/>
      <c r="E60" s="236"/>
      <c r="F60" s="236"/>
      <c r="G60" s="236"/>
      <c r="H60" s="236"/>
      <c r="I60" s="236"/>
      <c r="J60" s="236"/>
      <c r="K60" s="232"/>
    </row>
    <row r="61" spans="1:11" s="233" customFormat="1">
      <c r="A61" s="237" t="str">
        <f>'Sources and Uses Budget'!$A61</f>
        <v>Other: (Specify)</v>
      </c>
      <c r="B61" s="234">
        <f>'Sources and Uses Budget'!C61</f>
        <v>0</v>
      </c>
      <c r="C61" s="235"/>
      <c r="D61" s="235"/>
      <c r="E61" s="236"/>
      <c r="F61" s="236"/>
      <c r="G61" s="236"/>
      <c r="H61" s="236"/>
      <c r="I61" s="236"/>
      <c r="J61" s="236"/>
      <c r="K61" s="232"/>
    </row>
    <row r="62" spans="1:11" s="233" customFormat="1" ht="13.75" customHeight="1">
      <c r="A62" s="238" t="s">
        <v>1819</v>
      </c>
      <c r="B62" s="234">
        <f>'Sources and Uses Budget'!C62</f>
        <v>31150</v>
      </c>
      <c r="C62" s="234">
        <f>SUM(C56:C61)</f>
        <v>0</v>
      </c>
      <c r="D62" s="234">
        <f>SUM(D56:D61)</f>
        <v>0</v>
      </c>
      <c r="E62" s="236"/>
      <c r="F62" s="236"/>
      <c r="G62" s="236"/>
      <c r="H62" s="236"/>
      <c r="I62" s="236"/>
      <c r="J62" s="236"/>
      <c r="K62" s="232"/>
    </row>
    <row r="63" spans="1:11" s="233" customFormat="1">
      <c r="A63" s="243" t="s">
        <v>1820</v>
      </c>
      <c r="B63" s="234">
        <f>'Sources and Uses Budget'!C63</f>
        <v>30327351</v>
      </c>
      <c r="C63" s="234">
        <f>SUM(C8+C11+C13+C14+C15+C26+C27+C38+C42+C43+C54+C62)</f>
        <v>0</v>
      </c>
      <c r="D63" s="234">
        <f>SUM(D8+D11+D13+D14+D15+D26+D27+D38+D42+D43+D54+D62)</f>
        <v>0</v>
      </c>
      <c r="E63" s="234">
        <f>'Sources and Uses Budget'!S63</f>
        <v>28210141</v>
      </c>
      <c r="F63" s="234">
        <f>SUM(F10+F13+F14+F15+F26+F27+F38+F42+F43+F54)</f>
        <v>0</v>
      </c>
      <c r="G63" s="234">
        <f>SUM(G10+G13+G14+G15+G26+G27+G38+G42+G43+G54)</f>
        <v>0</v>
      </c>
      <c r="H63" s="234">
        <f>'Sources and Uses Budget'!T63</f>
        <v>0</v>
      </c>
      <c r="I63" s="234">
        <f>SUM(I11+I13+I14+I15+I26+I27+I38+I42+I43+I54)</f>
        <v>0</v>
      </c>
      <c r="J63" s="234">
        <f>SUM(J11+J13+J14+J15+J26+J27+J38+J42+J43+J54)</f>
        <v>0</v>
      </c>
      <c r="K63" s="232"/>
    </row>
    <row r="64" spans="1:11" s="233" customFormat="1" ht="24">
      <c r="A64" s="83" t="s">
        <v>1821</v>
      </c>
      <c r="B64" s="231"/>
      <c r="C64" s="231"/>
      <c r="D64" s="231"/>
      <c r="E64" s="231"/>
      <c r="F64" s="231"/>
      <c r="G64" s="231"/>
      <c r="H64" s="231"/>
      <c r="I64" s="231"/>
      <c r="J64" s="231"/>
      <c r="K64" s="232"/>
    </row>
    <row r="65" spans="1:11" s="233" customFormat="1">
      <c r="A65" s="170" t="s">
        <v>1822</v>
      </c>
      <c r="B65" s="234">
        <f>'Sources and Uses Budget'!C65</f>
        <v>80000</v>
      </c>
      <c r="C65" s="235"/>
      <c r="D65" s="235"/>
      <c r="E65" s="234">
        <f>'Sources and Uses Budget'!S65</f>
        <v>29255</v>
      </c>
      <c r="F65" s="235"/>
      <c r="G65" s="235"/>
      <c r="H65" s="234">
        <f>'Sources and Uses Budget'!T65</f>
        <v>0</v>
      </c>
      <c r="I65" s="235"/>
      <c r="J65" s="235"/>
      <c r="K65" s="232"/>
    </row>
    <row r="66" spans="1:11" s="233" customFormat="1" ht="23">
      <c r="A66" s="170" t="s">
        <v>1823</v>
      </c>
      <c r="B66" s="234">
        <f>'Sources and Uses Budget'!C66</f>
        <v>0</v>
      </c>
      <c r="C66" s="235"/>
      <c r="D66" s="235"/>
      <c r="E66" s="234">
        <f>'Sources and Uses Budget'!S66</f>
        <v>0</v>
      </c>
      <c r="F66" s="235"/>
      <c r="G66" s="235"/>
      <c r="H66" s="234">
        <f>'Sources and Uses Budget'!T66</f>
        <v>0</v>
      </c>
      <c r="I66" s="235"/>
      <c r="J66" s="235"/>
      <c r="K66" s="232"/>
    </row>
    <row r="67" spans="1:11" s="233" customFormat="1" ht="23">
      <c r="A67" s="170" t="s">
        <v>1824</v>
      </c>
      <c r="B67" s="234">
        <f>'Sources and Uses Budget'!C67</f>
        <v>0</v>
      </c>
      <c r="C67" s="235"/>
      <c r="D67" s="235"/>
      <c r="E67" s="234">
        <f>'Sources and Uses Budget'!S67</f>
        <v>0</v>
      </c>
      <c r="F67" s="235"/>
      <c r="G67" s="235"/>
      <c r="H67" s="234">
        <f>'Sources and Uses Budget'!T67</f>
        <v>0</v>
      </c>
      <c r="I67" s="235"/>
      <c r="J67" s="235"/>
      <c r="K67" s="232"/>
    </row>
    <row r="68" spans="1:11" s="233" customFormat="1">
      <c r="A68" s="170" t="s">
        <v>1825</v>
      </c>
      <c r="B68" s="234">
        <f>'Sources and Uses Budget'!C68</f>
        <v>0</v>
      </c>
      <c r="C68" s="235"/>
      <c r="D68" s="235"/>
      <c r="E68" s="234">
        <f>'Sources and Uses Budget'!S68</f>
        <v>0</v>
      </c>
      <c r="F68" s="235"/>
      <c r="G68" s="235"/>
      <c r="H68" s="234">
        <f>'Sources and Uses Budget'!T68</f>
        <v>0</v>
      </c>
      <c r="I68" s="235"/>
      <c r="J68" s="235"/>
      <c r="K68" s="232"/>
    </row>
    <row r="69" spans="1:11" s="233" customFormat="1">
      <c r="A69" s="237" t="str">
        <f>'Sources and Uses Budget'!$A69</f>
        <v>Other: (Owner Legal)</v>
      </c>
      <c r="B69" s="234">
        <f>'Sources and Uses Budget'!C69</f>
        <v>65000</v>
      </c>
      <c r="C69" s="235"/>
      <c r="D69" s="235"/>
      <c r="E69" s="234">
        <f>'Sources and Uses Budget'!S69</f>
        <v>50000</v>
      </c>
      <c r="F69" s="235"/>
      <c r="G69" s="235"/>
      <c r="H69" s="234">
        <f>'Sources and Uses Budget'!T69</f>
        <v>0</v>
      </c>
      <c r="I69" s="235"/>
      <c r="J69" s="235"/>
      <c r="K69" s="232"/>
    </row>
    <row r="70" spans="1:11" s="233" customFormat="1">
      <c r="A70" s="238" t="s">
        <v>1903</v>
      </c>
      <c r="B70" s="234">
        <f>'Sources and Uses Budget'!C70</f>
        <v>145000</v>
      </c>
      <c r="C70" s="234">
        <f>SUM(C64:C69)</f>
        <v>0</v>
      </c>
      <c r="D70" s="234">
        <f>SUM(D64:D69)</f>
        <v>0</v>
      </c>
      <c r="E70" s="234">
        <f>'Sources and Uses Budget'!S70</f>
        <v>79255</v>
      </c>
      <c r="F70" s="240">
        <f>SUM(F65:F69)</f>
        <v>0</v>
      </c>
      <c r="G70" s="240">
        <f>SUM(G65:G69)</f>
        <v>0</v>
      </c>
      <c r="H70" s="234">
        <f>'Sources and Uses Budget'!T70</f>
        <v>0</v>
      </c>
      <c r="I70" s="240">
        <f>SUM(I65:I69)</f>
        <v>0</v>
      </c>
      <c r="J70" s="240">
        <f>SUM(J65:J69)</f>
        <v>0</v>
      </c>
      <c r="K70" s="232"/>
    </row>
    <row r="71" spans="1:11" s="233" customFormat="1" ht="12">
      <c r="A71" s="230" t="s">
        <v>1828</v>
      </c>
      <c r="B71" s="231"/>
      <c r="C71" s="231"/>
      <c r="D71" s="231"/>
      <c r="E71" s="231"/>
      <c r="F71" s="231"/>
      <c r="G71" s="231"/>
      <c r="H71" s="231"/>
      <c r="I71" s="231"/>
      <c r="J71" s="231"/>
      <c r="K71" s="232"/>
    </row>
    <row r="72" spans="1:11" s="233" customFormat="1">
      <c r="A72" s="237" t="s">
        <v>1829</v>
      </c>
      <c r="B72" s="234">
        <f>'Sources and Uses Budget'!C72</f>
        <v>0</v>
      </c>
      <c r="C72" s="235"/>
      <c r="D72" s="235"/>
      <c r="E72" s="236"/>
      <c r="F72" s="236"/>
      <c r="G72" s="236"/>
      <c r="H72" s="236"/>
      <c r="I72" s="236"/>
      <c r="J72" s="236"/>
      <c r="K72" s="232"/>
    </row>
    <row r="73" spans="1:11" s="233" customFormat="1">
      <c r="A73" s="237" t="s">
        <v>1830</v>
      </c>
      <c r="B73" s="234">
        <f>'Sources and Uses Budget'!C73</f>
        <v>0</v>
      </c>
      <c r="C73" s="235"/>
      <c r="D73" s="235"/>
      <c r="E73" s="236"/>
      <c r="F73" s="236"/>
      <c r="G73" s="236"/>
      <c r="H73" s="236"/>
      <c r="I73" s="236"/>
      <c r="J73" s="236"/>
      <c r="K73" s="232"/>
    </row>
    <row r="74" spans="1:11" s="233" customFormat="1">
      <c r="A74" s="239" t="s">
        <v>1831</v>
      </c>
      <c r="B74" s="234">
        <f>'Sources and Uses Budget'!C74</f>
        <v>0</v>
      </c>
      <c r="C74" s="235"/>
      <c r="D74" s="235"/>
      <c r="E74" s="236"/>
      <c r="F74" s="236"/>
      <c r="G74" s="236"/>
      <c r="H74" s="236"/>
      <c r="I74" s="236"/>
      <c r="J74" s="236"/>
      <c r="K74" s="232"/>
    </row>
    <row r="75" spans="1:11" s="233" customFormat="1">
      <c r="A75" s="237" t="s">
        <v>1832</v>
      </c>
      <c r="B75" s="234">
        <f>'Sources and Uses Budget'!C75</f>
        <v>154850</v>
      </c>
      <c r="C75" s="235"/>
      <c r="D75" s="235"/>
      <c r="E75" s="236"/>
      <c r="F75" s="236"/>
      <c r="G75" s="236"/>
      <c r="H75" s="236"/>
      <c r="I75" s="236"/>
      <c r="J75" s="236"/>
      <c r="K75" s="232"/>
    </row>
    <row r="76" spans="1:11" s="233" customFormat="1">
      <c r="A76" s="237" t="str">
        <f>'Sources and Uses Budget'!$A76</f>
        <v>Other: (Specify)</v>
      </c>
      <c r="B76" s="234">
        <f>'Sources and Uses Budget'!C76</f>
        <v>0</v>
      </c>
      <c r="C76" s="235"/>
      <c r="D76" s="235"/>
      <c r="E76" s="236"/>
      <c r="F76" s="236"/>
      <c r="G76" s="236"/>
      <c r="H76" s="236"/>
      <c r="I76" s="236"/>
      <c r="J76" s="236"/>
      <c r="K76" s="232"/>
    </row>
    <row r="77" spans="1:11" s="233" customFormat="1">
      <c r="A77" s="238" t="s">
        <v>1833</v>
      </c>
      <c r="B77" s="234">
        <f>'Sources and Uses Budget'!C77</f>
        <v>154850</v>
      </c>
      <c r="C77" s="234">
        <f>SUM(C72:C76)</f>
        <v>0</v>
      </c>
      <c r="D77" s="234">
        <f>SUM(D72:D76)</f>
        <v>0</v>
      </c>
      <c r="E77" s="236"/>
      <c r="F77" s="236"/>
      <c r="G77" s="236"/>
      <c r="H77" s="236"/>
      <c r="I77" s="236"/>
      <c r="J77" s="236"/>
      <c r="K77" s="232"/>
    </row>
    <row r="78" spans="1:11" s="233" customFormat="1" ht="12">
      <c r="A78" s="230" t="s">
        <v>1834</v>
      </c>
      <c r="B78" s="231"/>
      <c r="C78" s="231"/>
      <c r="D78" s="231"/>
      <c r="E78" s="231"/>
      <c r="F78" s="231"/>
      <c r="G78" s="231"/>
      <c r="H78" s="231"/>
      <c r="I78" s="231"/>
      <c r="J78" s="231"/>
      <c r="K78" s="232"/>
    </row>
    <row r="79" spans="1:11" s="233" customFormat="1">
      <c r="A79" s="237" t="s">
        <v>1835</v>
      </c>
      <c r="B79" s="234">
        <f>'Sources and Uses Budget'!C79</f>
        <v>1845274</v>
      </c>
      <c r="C79" s="235"/>
      <c r="D79" s="235"/>
      <c r="E79" s="234">
        <f>'Sources and Uses Budget'!S79</f>
        <v>1845274</v>
      </c>
      <c r="F79" s="235"/>
      <c r="G79" s="235"/>
      <c r="H79" s="234">
        <f>'Sources and Uses Budget'!T79</f>
        <v>0</v>
      </c>
      <c r="I79" s="235"/>
      <c r="J79" s="235"/>
      <c r="K79" s="232"/>
    </row>
    <row r="80" spans="1:11" s="233" customFormat="1">
      <c r="A80" s="237" t="s">
        <v>1836</v>
      </c>
      <c r="B80" s="234">
        <f>'Sources and Uses Budget'!C80</f>
        <v>127321</v>
      </c>
      <c r="C80" s="235"/>
      <c r="D80" s="235"/>
      <c r="E80" s="234">
        <f>'Sources and Uses Budget'!S80</f>
        <v>127321</v>
      </c>
      <c r="F80" s="235"/>
      <c r="G80" s="235"/>
      <c r="H80" s="234">
        <f>'Sources and Uses Budget'!T80</f>
        <v>0</v>
      </c>
      <c r="I80" s="235"/>
      <c r="J80" s="235"/>
      <c r="K80" s="232"/>
    </row>
    <row r="81" spans="1:11" s="233" customFormat="1">
      <c r="A81" s="238" t="s">
        <v>1837</v>
      </c>
      <c r="B81" s="234">
        <f>'Sources and Uses Budget'!C81</f>
        <v>1972595</v>
      </c>
      <c r="C81" s="234">
        <f>SUM(C79:C80)</f>
        <v>0</v>
      </c>
      <c r="D81" s="234">
        <f>SUM(D79:D80)</f>
        <v>0</v>
      </c>
      <c r="E81" s="234">
        <f>'Sources and Uses Budget'!S81</f>
        <v>1972595</v>
      </c>
      <c r="F81" s="234">
        <f>SUM(F79:F80)</f>
        <v>0</v>
      </c>
      <c r="G81" s="234">
        <f>SUM(G79:G80)</f>
        <v>0</v>
      </c>
      <c r="H81" s="234">
        <f>'Sources and Uses Budget'!T81</f>
        <v>0</v>
      </c>
      <c r="I81" s="234">
        <f>SUM(I79:I80)</f>
        <v>0</v>
      </c>
      <c r="J81" s="234">
        <f>SUM(J79:J80)</f>
        <v>0</v>
      </c>
      <c r="K81" s="232"/>
    </row>
    <row r="82" spans="1:11" s="233" customFormat="1" ht="12">
      <c r="A82" s="230" t="s">
        <v>1838</v>
      </c>
      <c r="B82" s="231"/>
      <c r="C82" s="231"/>
      <c r="D82" s="231"/>
      <c r="E82" s="231"/>
      <c r="F82" s="231"/>
      <c r="G82" s="231"/>
      <c r="H82" s="231"/>
      <c r="I82" s="231"/>
      <c r="J82" s="231"/>
      <c r="K82" s="232"/>
    </row>
    <row r="83" spans="1:11" s="233" customFormat="1" ht="13.75" customHeight="1">
      <c r="A83" s="170" t="s">
        <v>1839</v>
      </c>
      <c r="B83" s="234">
        <f>'Sources and Uses Budget'!C83</f>
        <v>71456</v>
      </c>
      <c r="C83" s="235"/>
      <c r="D83" s="235"/>
      <c r="E83" s="236"/>
      <c r="F83" s="236"/>
      <c r="G83" s="236"/>
      <c r="H83" s="236"/>
      <c r="I83" s="236"/>
      <c r="J83" s="236"/>
      <c r="K83" s="232"/>
    </row>
    <row r="84" spans="1:11" s="233" customFormat="1">
      <c r="A84" s="170" t="s">
        <v>1840</v>
      </c>
      <c r="B84" s="234">
        <f>'Sources and Uses Budget'!C84</f>
        <v>50000</v>
      </c>
      <c r="C84" s="235"/>
      <c r="D84" s="235"/>
      <c r="E84" s="234">
        <f>'Sources and Uses Budget'!S84</f>
        <v>50000</v>
      </c>
      <c r="F84" s="235"/>
      <c r="G84" s="235"/>
      <c r="H84" s="234">
        <f>'Sources and Uses Budget'!T84</f>
        <v>0</v>
      </c>
      <c r="I84" s="235"/>
      <c r="J84" s="235"/>
      <c r="K84" s="232"/>
    </row>
    <row r="85" spans="1:11" s="233" customFormat="1">
      <c r="A85" s="170" t="s">
        <v>1841</v>
      </c>
      <c r="B85" s="234">
        <f>'Sources and Uses Budget'!C85</f>
        <v>809809</v>
      </c>
      <c r="C85" s="235"/>
      <c r="D85" s="235"/>
      <c r="E85" s="234">
        <f>'Sources and Uses Budget'!S85</f>
        <v>809809</v>
      </c>
      <c r="F85" s="235"/>
      <c r="G85" s="235"/>
      <c r="H85" s="234">
        <f>'Sources and Uses Budget'!T85</f>
        <v>0</v>
      </c>
      <c r="I85" s="235"/>
      <c r="J85" s="235"/>
      <c r="K85" s="232"/>
    </row>
    <row r="86" spans="1:11" s="233" customFormat="1">
      <c r="A86" s="170" t="s">
        <v>1842</v>
      </c>
      <c r="B86" s="234">
        <f>'Sources and Uses Budget'!C86</f>
        <v>200000</v>
      </c>
      <c r="C86" s="235"/>
      <c r="D86" s="235"/>
      <c r="E86" s="234">
        <f>'Sources and Uses Budget'!S86</f>
        <v>200000</v>
      </c>
      <c r="F86" s="235"/>
      <c r="G86" s="235"/>
      <c r="H86" s="234">
        <f>'Sources and Uses Budget'!T86</f>
        <v>0</v>
      </c>
      <c r="I86" s="235"/>
      <c r="J86" s="235"/>
      <c r="K86" s="232"/>
    </row>
    <row r="87" spans="1:11" s="233" customFormat="1">
      <c r="A87" s="170" t="s">
        <v>1843</v>
      </c>
      <c r="B87" s="234">
        <f>'Sources and Uses Budget'!C87</f>
        <v>0</v>
      </c>
      <c r="C87" s="235"/>
      <c r="D87" s="235"/>
      <c r="E87" s="234">
        <f>'Sources and Uses Budget'!S87</f>
        <v>0</v>
      </c>
      <c r="F87" s="235"/>
      <c r="G87" s="235"/>
      <c r="H87" s="234">
        <f>'Sources and Uses Budget'!T87</f>
        <v>0</v>
      </c>
      <c r="I87" s="235"/>
      <c r="J87" s="235"/>
      <c r="K87" s="232"/>
    </row>
    <row r="88" spans="1:11" s="233" customFormat="1">
      <c r="A88" s="170" t="s">
        <v>1844</v>
      </c>
      <c r="B88" s="234">
        <f>'Sources and Uses Budget'!C88</f>
        <v>40000</v>
      </c>
      <c r="C88" s="235"/>
      <c r="D88" s="235"/>
      <c r="E88" s="236"/>
      <c r="F88" s="236"/>
      <c r="G88" s="236"/>
      <c r="H88" s="236"/>
      <c r="I88" s="236"/>
      <c r="J88" s="236"/>
      <c r="K88" s="232"/>
    </row>
    <row r="89" spans="1:11" s="233" customFormat="1">
      <c r="A89" s="170" t="s">
        <v>1845</v>
      </c>
      <c r="B89" s="234">
        <f>'Sources and Uses Budget'!C89</f>
        <v>45000</v>
      </c>
      <c r="C89" s="235"/>
      <c r="D89" s="235"/>
      <c r="E89" s="234">
        <f>'Sources and Uses Budget'!S89</f>
        <v>45000</v>
      </c>
      <c r="F89" s="235"/>
      <c r="G89" s="235"/>
      <c r="H89" s="234">
        <f>'Sources and Uses Budget'!T89</f>
        <v>0</v>
      </c>
      <c r="I89" s="235"/>
      <c r="J89" s="235"/>
      <c r="K89" s="232"/>
    </row>
    <row r="90" spans="1:11" s="233" customFormat="1">
      <c r="A90" s="170" t="s">
        <v>1846</v>
      </c>
      <c r="B90" s="234">
        <f>'Sources and Uses Budget'!C90</f>
        <v>10000</v>
      </c>
      <c r="C90" s="235"/>
      <c r="D90" s="235"/>
      <c r="E90" s="234">
        <f>'Sources and Uses Budget'!S90</f>
        <v>0</v>
      </c>
      <c r="F90" s="235"/>
      <c r="G90" s="235"/>
      <c r="H90" s="234">
        <f>'Sources and Uses Budget'!T90</f>
        <v>0</v>
      </c>
      <c r="I90" s="235"/>
      <c r="J90" s="235"/>
      <c r="K90" s="232"/>
    </row>
    <row r="91" spans="1:11" s="233" customFormat="1">
      <c r="A91" s="360" t="s">
        <v>1847</v>
      </c>
      <c r="B91" s="234">
        <f>'Sources and Uses Budget'!C91</f>
        <v>0</v>
      </c>
      <c r="C91" s="235"/>
      <c r="D91" s="235"/>
      <c r="E91" s="234">
        <f>'Sources and Uses Budget'!S91</f>
        <v>0</v>
      </c>
      <c r="F91" s="235"/>
      <c r="G91" s="235"/>
      <c r="H91" s="234">
        <f>'Sources and Uses Budget'!T91</f>
        <v>0</v>
      </c>
      <c r="I91" s="235"/>
      <c r="J91" s="235"/>
      <c r="K91" s="232"/>
    </row>
    <row r="92" spans="1:11" s="233" customFormat="1">
      <c r="A92" s="360" t="s">
        <v>1848</v>
      </c>
      <c r="B92" s="234">
        <f>'Sources and Uses Budget'!C92</f>
        <v>10000</v>
      </c>
      <c r="C92" s="235"/>
      <c r="D92" s="235"/>
      <c r="E92" s="234">
        <f>'Sources and Uses Budget'!S92</f>
        <v>10000</v>
      </c>
      <c r="F92" s="235"/>
      <c r="G92" s="235"/>
      <c r="H92" s="234">
        <f>'Sources and Uses Budget'!T92</f>
        <v>0</v>
      </c>
      <c r="I92" s="235"/>
      <c r="J92" s="235"/>
      <c r="K92" s="232"/>
    </row>
    <row r="93" spans="1:11" s="233" customFormat="1">
      <c r="A93" s="237" t="str">
        <f>'Sources and Uses Budget'!$A93</f>
        <v>Other: (Prevailing Wage Monitor)</v>
      </c>
      <c r="B93" s="234">
        <f>'Sources and Uses Budget'!C93</f>
        <v>50000</v>
      </c>
      <c r="C93" s="235"/>
      <c r="D93" s="235"/>
      <c r="E93" s="234">
        <f>'Sources and Uses Budget'!S93</f>
        <v>50000</v>
      </c>
      <c r="F93" s="235"/>
      <c r="G93" s="235"/>
      <c r="H93" s="234">
        <f>'Sources and Uses Budget'!T93</f>
        <v>0</v>
      </c>
      <c r="I93" s="235"/>
      <c r="J93" s="235"/>
      <c r="K93" s="232"/>
    </row>
    <row r="94" spans="1:11" s="233" customFormat="1">
      <c r="A94" s="237" t="str">
        <f>'Sources and Uses Budget'!$A94</f>
        <v>Other: (Specify)</v>
      </c>
      <c r="B94" s="234">
        <f>'Sources and Uses Budget'!C94</f>
        <v>0</v>
      </c>
      <c r="C94" s="235"/>
      <c r="D94" s="235"/>
      <c r="E94" s="234">
        <f>'Sources and Uses Budget'!S94</f>
        <v>0</v>
      </c>
      <c r="F94" s="235"/>
      <c r="G94" s="235"/>
      <c r="H94" s="234">
        <f>'Sources and Uses Budget'!T94</f>
        <v>0</v>
      </c>
      <c r="I94" s="235"/>
      <c r="J94" s="235"/>
      <c r="K94" s="232"/>
    </row>
    <row r="95" spans="1:11" s="233" customFormat="1">
      <c r="A95" s="237" t="str">
        <f>'Sources and Uses Budget'!$A95</f>
        <v>Other: (Specify)</v>
      </c>
      <c r="B95" s="234">
        <f>'Sources and Uses Budget'!C95</f>
        <v>0</v>
      </c>
      <c r="C95" s="235"/>
      <c r="D95" s="235"/>
      <c r="E95" s="234">
        <f>'Sources and Uses Budget'!S95</f>
        <v>0</v>
      </c>
      <c r="F95" s="235"/>
      <c r="G95" s="235"/>
      <c r="H95" s="234">
        <f>'Sources and Uses Budget'!T95</f>
        <v>0</v>
      </c>
      <c r="I95" s="235"/>
      <c r="J95" s="235"/>
      <c r="K95" s="232"/>
    </row>
    <row r="96" spans="1:11" s="233" customFormat="1">
      <c r="A96" s="238" t="s">
        <v>1850</v>
      </c>
      <c r="B96" s="234">
        <f>'Sources and Uses Budget'!C96</f>
        <v>1286265</v>
      </c>
      <c r="C96" s="234">
        <f>SUM(C83:C95)</f>
        <v>0</v>
      </c>
      <c r="D96" s="234">
        <f>SUM(D83:D95)</f>
        <v>0</v>
      </c>
      <c r="E96" s="234">
        <f>'Sources and Uses Budget'!S96</f>
        <v>1164809</v>
      </c>
      <c r="F96" s="240">
        <f>SUM(F84:F87,F89:F95)</f>
        <v>0</v>
      </c>
      <c r="G96" s="240">
        <f>SUM(G84:G87,G89:G95)</f>
        <v>0</v>
      </c>
      <c r="H96" s="234">
        <f>'Sources and Uses Budget'!T96</f>
        <v>0</v>
      </c>
      <c r="I96" s="234">
        <f>SUM(I84:I87,I89:I95)</f>
        <v>0</v>
      </c>
      <c r="J96" s="234">
        <f>SUM(J84:J87,J89:J95)</f>
        <v>0</v>
      </c>
      <c r="K96" s="232"/>
    </row>
    <row r="97" spans="1:11" s="233" customFormat="1">
      <c r="A97" s="238" t="s">
        <v>1904</v>
      </c>
      <c r="B97" s="234">
        <f>'Sources and Uses Budget'!C97</f>
        <v>33886061</v>
      </c>
      <c r="C97" s="234">
        <f>SUM(C63+C70+C77+C81+C96)</f>
        <v>0</v>
      </c>
      <c r="D97" s="234">
        <f>SUM(D63+D70+D77+D81+D96)</f>
        <v>0</v>
      </c>
      <c r="E97" s="234">
        <f>'Sources and Uses Budget'!S97</f>
        <v>31426800</v>
      </c>
      <c r="F97" s="240">
        <f>SUM(+F63+F70+F81+F96)</f>
        <v>0</v>
      </c>
      <c r="G97" s="240">
        <f>SUM(+G63+G70+G81+G96)</f>
        <v>0</v>
      </c>
      <c r="H97" s="234">
        <f>'Sources and Uses Budget'!T97</f>
        <v>0</v>
      </c>
      <c r="I97" s="240">
        <f>SUM(I63+I70+I81+I96)</f>
        <v>0</v>
      </c>
      <c r="J97" s="240">
        <f>SUM(J63+J70+J81+J96)</f>
        <v>0</v>
      </c>
      <c r="K97" s="232"/>
    </row>
    <row r="98" spans="1:11" s="233" customFormat="1" ht="12">
      <c r="A98" s="230" t="s">
        <v>1852</v>
      </c>
      <c r="B98" s="231"/>
      <c r="C98" s="231"/>
      <c r="D98" s="231"/>
      <c r="E98" s="231"/>
      <c r="F98" s="231"/>
      <c r="G98" s="231"/>
      <c r="H98" s="231"/>
      <c r="I98" s="231"/>
      <c r="J98" s="231"/>
      <c r="K98" s="232"/>
    </row>
    <row r="99" spans="1:11" s="233" customFormat="1">
      <c r="A99" s="170" t="s">
        <v>1853</v>
      </c>
      <c r="B99" s="234">
        <f>'Sources and Uses Budget'!C99</f>
        <v>4714020</v>
      </c>
      <c r="C99" s="235"/>
      <c r="D99" s="235"/>
      <c r="E99" s="234">
        <f>'Sources and Uses Budget'!S99</f>
        <v>4714020</v>
      </c>
      <c r="F99" s="235"/>
      <c r="G99" s="235"/>
      <c r="H99" s="234">
        <f>'Sources and Uses Budget'!T99</f>
        <v>0</v>
      </c>
      <c r="I99" s="235"/>
      <c r="J99" s="235"/>
      <c r="K99" s="232"/>
    </row>
    <row r="100" spans="1:11" s="233" customFormat="1">
      <c r="A100" s="170" t="s">
        <v>1854</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1855</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1856</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1857</v>
      </c>
      <c r="B104" s="234">
        <f>'Sources and Uses Budget'!C104</f>
        <v>4714020</v>
      </c>
      <c r="C104" s="234">
        <f>SUM(C99:C103)</f>
        <v>0</v>
      </c>
      <c r="D104" s="234">
        <f>SUM(D99:D103)</f>
        <v>0</v>
      </c>
      <c r="E104" s="234">
        <f>'Sources and Uses Budget'!S104</f>
        <v>4714020</v>
      </c>
      <c r="F104" s="240">
        <f>SUM(F99:F103)</f>
        <v>0</v>
      </c>
      <c r="G104" s="240">
        <f>SUM(G99:G103)</f>
        <v>0</v>
      </c>
      <c r="H104" s="234">
        <f>'Sources and Uses Budget'!T104</f>
        <v>0</v>
      </c>
      <c r="I104" s="240">
        <f>SUM(I99:I103)</f>
        <v>0</v>
      </c>
      <c r="J104" s="240">
        <f>SUM(J99:J103)</f>
        <v>0</v>
      </c>
      <c r="K104" s="232"/>
    </row>
    <row r="105" spans="1:11" s="233" customFormat="1">
      <c r="A105" s="238" t="s">
        <v>1905</v>
      </c>
      <c r="B105" s="234">
        <f>'Sources and Uses Budget'!C105</f>
        <v>38600081</v>
      </c>
      <c r="C105" s="240">
        <f>SUM(C97+C104)</f>
        <v>0</v>
      </c>
      <c r="D105" s="240">
        <f>SUM(D97+D104)</f>
        <v>0</v>
      </c>
      <c r="E105" s="234">
        <f>'Sources and Uses Budget'!S105</f>
        <v>36140820</v>
      </c>
      <c r="F105" s="240">
        <f>F97+F104</f>
        <v>0</v>
      </c>
      <c r="G105" s="240">
        <f>G97+G104</f>
        <v>0</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1906</v>
      </c>
      <c r="E107" s="234">
        <f>'Sources and Uses Budget'!S107</f>
        <v>36140820</v>
      </c>
      <c r="F107" s="240">
        <f>F105+F106</f>
        <v>0</v>
      </c>
      <c r="G107" s="240">
        <f>G105+G106</f>
        <v>0</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3">
      <c r="A111" s="250"/>
      <c r="B111" s="248"/>
      <c r="C111" s="248"/>
      <c r="D111" s="248"/>
      <c r="J111" s="249"/>
      <c r="K111" s="232"/>
    </row>
    <row r="112" spans="1:11" s="233" customFormat="1" ht="13">
      <c r="A112" s="250"/>
      <c r="B112" s="248"/>
      <c r="C112" s="248"/>
      <c r="D112" s="248"/>
      <c r="J112" s="249"/>
      <c r="K112" s="232"/>
    </row>
    <row r="113" spans="1:11" s="233" customFormat="1" ht="15">
      <c r="A113" s="251"/>
      <c r="B113" s="248"/>
      <c r="C113" s="248"/>
      <c r="D113" s="248"/>
      <c r="J113" s="249"/>
      <c r="K113" s="232"/>
    </row>
    <row r="114" spans="1:11" s="233" customFormat="1" ht="13">
      <c r="A114" s="250"/>
      <c r="J114" s="249"/>
      <c r="K114" s="232"/>
    </row>
    <row r="115" spans="1:11" s="233" customFormat="1" ht="15">
      <c r="A115" s="251"/>
      <c r="J115" s="249"/>
      <c r="K115" s="232"/>
    </row>
    <row r="116" spans="1:11" s="233" customFormat="1" ht="1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5">
      <c r="A121" s="251"/>
      <c r="J121" s="249"/>
      <c r="K121" s="232"/>
    </row>
    <row r="122" spans="1:11" s="253" customFormat="1" ht="15.5">
      <c r="A122" s="252"/>
      <c r="J122" s="254"/>
      <c r="K122" s="255"/>
    </row>
    <row r="123" spans="1:11" s="233" customFormat="1">
      <c r="A123" s="256"/>
      <c r="J123" s="249"/>
      <c r="K123" s="232"/>
    </row>
    <row r="124" spans="1:11" s="233" customFormat="1">
      <c r="B124" s="257"/>
      <c r="D124" s="1799"/>
      <c r="E124" s="1269"/>
      <c r="F124" s="1269"/>
      <c r="G124" s="1269"/>
      <c r="H124" s="1269"/>
      <c r="I124" s="1269"/>
      <c r="J124" s="249"/>
      <c r="K124" s="232"/>
    </row>
    <row r="125" spans="1:11" s="233" customFormat="1" ht="12.5">
      <c r="A125" s="1056"/>
      <c r="B125" s="257"/>
      <c r="C125" s="1056"/>
      <c r="D125" s="1269"/>
      <c r="E125" s="1269"/>
      <c r="F125" s="1269"/>
      <c r="G125" s="1269"/>
      <c r="H125" s="1269"/>
      <c r="I125" s="1269"/>
      <c r="J125" s="249"/>
      <c r="K125" s="232"/>
    </row>
    <row r="126" spans="1:11" s="233" customFormat="1" ht="12.5">
      <c r="A126" s="1056"/>
      <c r="B126" s="257"/>
      <c r="C126" s="1056"/>
      <c r="D126" s="1269"/>
      <c r="E126" s="1269"/>
      <c r="F126" s="1269"/>
      <c r="G126" s="1269"/>
      <c r="H126" s="1269"/>
      <c r="I126" s="1269"/>
      <c r="J126" s="249"/>
      <c r="K126" s="232"/>
    </row>
    <row r="127" spans="1:11" s="233" customFormat="1" ht="12.5">
      <c r="A127" s="1056"/>
      <c r="B127" s="257"/>
      <c r="C127" s="1056"/>
      <c r="D127" s="258"/>
      <c r="E127" s="1056"/>
      <c r="F127" s="1056"/>
      <c r="G127" s="1056"/>
      <c r="J127" s="249"/>
      <c r="K127" s="232"/>
    </row>
    <row r="128" spans="1:11" s="233" customFormat="1" ht="12.5">
      <c r="A128" s="1056"/>
      <c r="B128" s="257"/>
      <c r="C128" s="1056"/>
      <c r="D128" s="258"/>
      <c r="E128" s="1056"/>
      <c r="F128" s="1056"/>
      <c r="G128" s="1056"/>
      <c r="J128" s="249"/>
      <c r="K128" s="232"/>
    </row>
    <row r="129" spans="1:11" s="233" customFormat="1" ht="12.5">
      <c r="A129" s="1056"/>
      <c r="B129" s="257"/>
      <c r="C129" s="1056"/>
      <c r="D129" s="1056"/>
      <c r="E129" s="1056"/>
      <c r="F129" s="1056"/>
      <c r="G129" s="1056"/>
      <c r="J129" s="249"/>
      <c r="K129" s="232"/>
    </row>
    <row r="130" spans="1:11" s="233" customFormat="1" ht="12.5">
      <c r="A130" s="1056"/>
      <c r="B130" s="257"/>
      <c r="C130" s="1056"/>
      <c r="D130" s="1056"/>
      <c r="E130" s="1056"/>
      <c r="F130" s="1056"/>
      <c r="G130" s="1056"/>
      <c r="J130" s="249"/>
      <c r="K130" s="232"/>
    </row>
    <row r="131" spans="1:11" s="233" customFormat="1" ht="12.5">
      <c r="A131" s="1056"/>
      <c r="B131" s="259"/>
      <c r="C131" s="1056"/>
      <c r="D131" s="1056"/>
      <c r="E131" s="1056"/>
      <c r="F131" s="1056"/>
      <c r="G131" s="1056"/>
      <c r="J131" s="249"/>
      <c r="K131" s="232"/>
    </row>
    <row r="132" spans="1:11" s="233" customFormat="1" ht="13">
      <c r="A132" s="260"/>
      <c r="B132" s="261"/>
      <c r="C132" s="1056"/>
      <c r="D132" s="262"/>
      <c r="E132" s="1056"/>
      <c r="F132" s="1056"/>
      <c r="G132" s="1056"/>
      <c r="J132" s="249"/>
      <c r="K132" s="232"/>
    </row>
    <row r="133" spans="1:11" s="233" customFormat="1" ht="12.5">
      <c r="A133" s="1106"/>
      <c r="B133" s="1056"/>
      <c r="C133" s="1056"/>
      <c r="D133" s="1056"/>
      <c r="E133" s="1056"/>
      <c r="F133" s="1056"/>
      <c r="G133" s="1056"/>
      <c r="J133" s="249"/>
      <c r="K133" s="232"/>
    </row>
    <row r="134" spans="1:11" s="233" customFormat="1" ht="12.5">
      <c r="A134" s="1106"/>
      <c r="B134" s="1056"/>
      <c r="C134" s="1056"/>
      <c r="D134" s="1056"/>
      <c r="E134" s="1056"/>
      <c r="F134" s="1056"/>
      <c r="G134" s="1056"/>
      <c r="J134" s="249"/>
      <c r="K134" s="232"/>
    </row>
    <row r="135" spans="1:11" s="233" customFormat="1" ht="12.5">
      <c r="A135" s="1052"/>
      <c r="B135" s="1056"/>
      <c r="C135" s="1056"/>
      <c r="D135" s="1056"/>
      <c r="E135" s="1056"/>
      <c r="F135" s="1056"/>
      <c r="G135" s="1056"/>
      <c r="J135" s="249"/>
      <c r="K135" s="232"/>
    </row>
    <row r="136" spans="1:11" s="233" customFormat="1" ht="13">
      <c r="A136" s="250"/>
      <c r="B136" s="1056"/>
      <c r="C136" s="1056"/>
      <c r="D136" s="1056"/>
      <c r="E136" s="1056"/>
      <c r="F136" s="1056"/>
      <c r="G136" s="1056"/>
      <c r="J136" s="249"/>
      <c r="K136" s="232"/>
    </row>
    <row r="137" spans="1:11" ht="12.5">
      <c r="A137" s="1106"/>
      <c r="B137" s="1056"/>
      <c r="C137" s="1056"/>
      <c r="D137" s="1056"/>
      <c r="E137" s="1056"/>
      <c r="F137" s="1056"/>
      <c r="G137" s="1056"/>
    </row>
    <row r="138" spans="1:11" ht="12" customHeight="1">
      <c r="A138" s="1106"/>
      <c r="B138" s="1056"/>
      <c r="C138" s="1056"/>
      <c r="D138" s="1056"/>
      <c r="E138" s="1056"/>
      <c r="F138" s="1056"/>
      <c r="G138" s="1056"/>
    </row>
    <row r="139" spans="1:11" ht="12" customHeight="1">
      <c r="A139" s="1800"/>
      <c r="B139" s="1269"/>
      <c r="C139" s="1269"/>
      <c r="D139" s="229"/>
      <c r="E139" s="1056"/>
      <c r="F139" s="1056"/>
      <c r="G139" s="1056"/>
    </row>
    <row r="140" spans="1:11" ht="12" customHeight="1">
      <c r="A140" s="1240"/>
      <c r="B140" s="1240"/>
      <c r="C140" s="1240"/>
      <c r="D140" s="229"/>
      <c r="E140" s="1056"/>
      <c r="F140" s="1056"/>
      <c r="G140" s="1056"/>
    </row>
    <row r="141" spans="1:11" ht="12" customHeight="1">
      <c r="A141" s="1106"/>
      <c r="B141" s="1056"/>
      <c r="C141" s="1056"/>
      <c r="D141" s="229"/>
      <c r="E141" s="1056"/>
      <c r="F141" s="1056"/>
      <c r="G141" s="1056"/>
      <c r="H141" s="264"/>
      <c r="I141" s="264"/>
    </row>
    <row r="142" spans="1:11" ht="12" customHeight="1">
      <c r="A142" s="266"/>
      <c r="B142" s="229"/>
      <c r="C142" s="229"/>
      <c r="D142" s="229"/>
      <c r="E142" s="1056"/>
      <c r="F142" s="1056"/>
      <c r="G142" s="1056"/>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heetViews>
  <sheetFormatPr defaultColWidth="2.7265625" defaultRowHeight="15.75" customHeight="1"/>
  <cols>
    <col min="1" max="8" width="2.7265625" style="965"/>
    <col min="9" max="9" width="7.7265625" style="965" customWidth="1"/>
    <col min="10" max="13" width="2.7265625" style="965"/>
    <col min="14" max="14" width="4.7265625" style="965" customWidth="1"/>
    <col min="15" max="19" width="2.7265625" style="965"/>
    <col min="20" max="20" width="3.7265625" style="965" customWidth="1"/>
    <col min="21" max="37" width="2.7265625" style="965"/>
    <col min="38" max="38" width="3" style="965" customWidth="1"/>
    <col min="39" max="45" width="2.7265625" style="965"/>
    <col min="46" max="46" width="4.7265625" style="965" customWidth="1"/>
    <col min="47" max="64" width="2.7265625" style="965"/>
    <col min="65" max="65" width="10.453125" style="965" hidden="1" customWidth="1"/>
    <col min="66" max="66" width="5.453125" style="965" bestFit="1" customWidth="1"/>
    <col min="67" max="68" width="5.453125" style="965" hidden="1" customWidth="1"/>
    <col min="69" max="69" width="8" style="965" hidden="1" customWidth="1"/>
    <col min="70" max="70" width="6" style="965" hidden="1" customWidth="1"/>
    <col min="71" max="71" width="6.1796875" style="965" hidden="1" customWidth="1"/>
    <col min="72" max="76" width="5.453125" style="965" hidden="1" customWidth="1"/>
    <col min="77" max="77" width="6.1796875" style="965" bestFit="1" customWidth="1"/>
    <col min="78" max="78" width="5.453125" style="965" bestFit="1" customWidth="1"/>
    <col min="79" max="16384" width="2.7265625" style="965"/>
  </cols>
  <sheetData>
    <row r="1" spans="1:65" ht="15.75" customHeight="1">
      <c r="A1" s="1812" t="s">
        <v>1907</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c r="AR1" s="1813"/>
      <c r="AS1" s="1813"/>
      <c r="AT1" s="1813"/>
      <c r="AU1" s="1813"/>
      <c r="AV1" s="1813"/>
      <c r="AW1" s="1813"/>
      <c r="AX1" s="1813"/>
      <c r="AY1" s="1813"/>
      <c r="AZ1" s="1813"/>
      <c r="BA1" s="1813"/>
      <c r="BB1" s="1813"/>
      <c r="BC1" s="1813"/>
      <c r="BD1" s="1813"/>
      <c r="BE1" s="1814"/>
    </row>
    <row r="2" spans="1:65" ht="15.75" customHeight="1">
      <c r="A2" s="1815" t="s">
        <v>1908</v>
      </c>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c r="AT2" s="1816"/>
      <c r="AU2" s="1816"/>
      <c r="AV2" s="1816"/>
      <c r="AW2" s="1816"/>
      <c r="AX2" s="1816"/>
      <c r="AY2" s="1816"/>
      <c r="AZ2" s="1816"/>
      <c r="BA2" s="1816"/>
      <c r="BB2" s="1816"/>
      <c r="BC2" s="1816"/>
      <c r="BD2" s="1816"/>
      <c r="BE2" s="1817"/>
      <c r="BF2" s="966"/>
    </row>
    <row r="3" spans="1:65" ht="15.75" customHeight="1" thickBot="1">
      <c r="A3" s="967"/>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1107"/>
    </row>
    <row r="4" spans="1:65" ht="15.75" customHeight="1" thickBot="1">
      <c r="A4" s="967"/>
      <c r="B4" s="969" t="s">
        <v>77</v>
      </c>
      <c r="C4" s="969"/>
      <c r="D4" s="969"/>
      <c r="E4" s="969"/>
      <c r="F4" s="969"/>
      <c r="G4" s="968"/>
      <c r="H4" s="968"/>
      <c r="I4" s="968"/>
      <c r="J4" s="968"/>
      <c r="K4" s="968"/>
      <c r="L4" s="1804" t="str">
        <f>IF(Application!H18="","",Application!H18)</f>
        <v>Crescent Meadows</v>
      </c>
      <c r="M4" s="1805"/>
      <c r="N4" s="1805"/>
      <c r="O4" s="1805"/>
      <c r="P4" s="1805"/>
      <c r="Q4" s="1805"/>
      <c r="R4" s="1805"/>
      <c r="S4" s="1805"/>
      <c r="T4" s="1805"/>
      <c r="U4" s="1805"/>
      <c r="V4" s="1805"/>
      <c r="W4" s="1805"/>
      <c r="X4" s="1805"/>
      <c r="Y4" s="1805"/>
      <c r="Z4" s="1805"/>
      <c r="AA4" s="1805"/>
      <c r="AB4" s="1805"/>
      <c r="AC4" s="1806"/>
      <c r="AD4" s="968"/>
      <c r="AE4" s="968"/>
      <c r="AF4" s="1818" t="s">
        <v>1909</v>
      </c>
      <c r="AG4" s="1818"/>
      <c r="AH4" s="1818"/>
      <c r="AI4" s="1818"/>
      <c r="AJ4" s="1818"/>
      <c r="AK4" s="1818"/>
      <c r="AL4" s="1818"/>
      <c r="AM4" s="1818"/>
      <c r="AN4" s="1818"/>
      <c r="AO4" s="1818"/>
      <c r="AP4" s="1819"/>
      <c r="AQ4" s="1820"/>
      <c r="AR4" s="1820"/>
      <c r="AS4" s="1820"/>
      <c r="AT4" s="1820"/>
      <c r="AU4" s="1820"/>
      <c r="AV4" s="968"/>
      <c r="AW4" s="968"/>
      <c r="AX4" s="968"/>
      <c r="AY4" s="968"/>
      <c r="AZ4" s="968"/>
      <c r="BA4" s="968"/>
      <c r="BB4" s="968"/>
      <c r="BC4" s="968"/>
      <c r="BD4" s="968"/>
      <c r="BE4" s="1107"/>
    </row>
    <row r="5" spans="1:65" ht="15.75" customHeight="1" thickBot="1">
      <c r="A5" s="967"/>
      <c r="B5" s="968"/>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1818" t="s">
        <v>1910</v>
      </c>
      <c r="AG5" s="1818"/>
      <c r="AH5" s="1818"/>
      <c r="AI5" s="1818"/>
      <c r="AJ5" s="1818"/>
      <c r="AK5" s="1818"/>
      <c r="AL5" s="1818"/>
      <c r="AM5" s="1818"/>
      <c r="AN5" s="1818"/>
      <c r="AO5" s="1818"/>
      <c r="AP5" s="1819"/>
      <c r="AQ5" s="1820"/>
      <c r="AR5" s="1820"/>
      <c r="AS5" s="1820"/>
      <c r="AT5" s="1820"/>
      <c r="AU5" s="1820"/>
      <c r="AV5" s="968"/>
      <c r="AW5" s="968"/>
      <c r="AX5" s="968"/>
      <c r="AY5" s="968"/>
      <c r="AZ5" s="968"/>
      <c r="BA5" s="968"/>
      <c r="BB5" s="968"/>
      <c r="BC5" s="968"/>
      <c r="BD5" s="968"/>
      <c r="BE5" s="1107"/>
    </row>
    <row r="6" spans="1:65" ht="15.75" customHeight="1" thickBot="1">
      <c r="A6" s="967"/>
      <c r="B6" s="969" t="s">
        <v>1911</v>
      </c>
      <c r="C6" s="968"/>
      <c r="D6" s="968"/>
      <c r="E6" s="968"/>
      <c r="F6" s="968"/>
      <c r="G6" s="968"/>
      <c r="H6" s="968"/>
      <c r="I6" s="968"/>
      <c r="J6" s="968"/>
      <c r="K6" s="968"/>
      <c r="L6" s="1804" t="str">
        <f>IF(Application!H16="","",Application!H16)</f>
        <v>Self-Help Enterprises</v>
      </c>
      <c r="M6" s="1805"/>
      <c r="N6" s="1805"/>
      <c r="O6" s="1805"/>
      <c r="P6" s="1805"/>
      <c r="Q6" s="1805"/>
      <c r="R6" s="1805"/>
      <c r="S6" s="1805"/>
      <c r="T6" s="1805"/>
      <c r="U6" s="1805"/>
      <c r="V6" s="1805"/>
      <c r="W6" s="1805"/>
      <c r="X6" s="1805"/>
      <c r="Y6" s="1805"/>
      <c r="Z6" s="1805"/>
      <c r="AA6" s="1805"/>
      <c r="AB6" s="1805"/>
      <c r="AC6" s="1806"/>
      <c r="AD6" s="968"/>
      <c r="AE6" s="968"/>
      <c r="AF6" s="1807" t="s">
        <v>1912</v>
      </c>
      <c r="AG6" s="1807"/>
      <c r="AH6" s="1807"/>
      <c r="AI6" s="1807"/>
      <c r="AJ6" s="1807"/>
      <c r="AK6" s="1807"/>
      <c r="AL6" s="1807"/>
      <c r="AM6" s="1807"/>
      <c r="AN6" s="1807"/>
      <c r="AO6" s="1807"/>
      <c r="AP6" s="1808"/>
      <c r="AQ6" s="1808"/>
      <c r="AR6" s="1808"/>
      <c r="AS6" s="1808"/>
      <c r="AT6" s="1808"/>
      <c r="AU6" s="1808"/>
      <c r="AV6" s="968"/>
      <c r="AW6" s="968"/>
      <c r="AX6" s="968"/>
      <c r="AY6" s="968"/>
      <c r="AZ6" s="968"/>
      <c r="BA6" s="968"/>
      <c r="BB6" s="968"/>
      <c r="BC6" s="968"/>
      <c r="BD6" s="968"/>
      <c r="BE6" s="1107"/>
    </row>
    <row r="7" spans="1:65" ht="15" thickBot="1">
      <c r="A7" s="967"/>
      <c r="B7" s="968"/>
      <c r="C7" s="968"/>
      <c r="D7" s="968"/>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1807" t="s">
        <v>1913</v>
      </c>
      <c r="AG7" s="1807"/>
      <c r="AH7" s="1807"/>
      <c r="AI7" s="1807"/>
      <c r="AJ7" s="1807"/>
      <c r="AK7" s="1807"/>
      <c r="AL7" s="1807"/>
      <c r="AM7" s="1807"/>
      <c r="AN7" s="1807"/>
      <c r="AO7" s="1807"/>
      <c r="AP7" s="1808"/>
      <c r="AQ7" s="1808"/>
      <c r="AR7" s="1808"/>
      <c r="AS7" s="1808"/>
      <c r="AT7" s="1808"/>
      <c r="AU7" s="1808"/>
      <c r="AV7" s="968"/>
      <c r="AW7" s="968"/>
      <c r="AX7" s="968"/>
      <c r="AY7" s="968"/>
      <c r="AZ7" s="968"/>
      <c r="BA7" s="968"/>
      <c r="BB7" s="968"/>
      <c r="BC7" s="968"/>
      <c r="BD7" s="968"/>
      <c r="BE7" s="1107"/>
    </row>
    <row r="8" spans="1:65" ht="15" thickBot="1">
      <c r="A8" s="967"/>
      <c r="B8" s="969" t="s">
        <v>1914</v>
      </c>
      <c r="C8" s="968"/>
      <c r="D8" s="968"/>
      <c r="E8" s="968"/>
      <c r="F8" s="968"/>
      <c r="G8" s="968"/>
      <c r="H8" s="968"/>
      <c r="I8" s="968"/>
      <c r="J8" s="968"/>
      <c r="K8" s="968"/>
      <c r="L8" s="968"/>
      <c r="M8" s="968"/>
      <c r="N8" s="968"/>
      <c r="O8" s="968"/>
      <c r="P8" s="968"/>
      <c r="Q8" s="968"/>
      <c r="R8" s="968"/>
      <c r="S8" s="968"/>
      <c r="T8" s="968"/>
      <c r="U8" s="968"/>
      <c r="V8" s="968"/>
      <c r="W8" s="968"/>
      <c r="X8" s="968"/>
      <c r="Y8" s="968"/>
      <c r="Z8" s="968"/>
      <c r="AA8" s="968"/>
      <c r="AB8" s="1809" t="str">
        <f>Application!T197</f>
        <v>No</v>
      </c>
      <c r="AC8" s="1810"/>
      <c r="AD8" s="1811"/>
      <c r="AE8" s="968"/>
      <c r="AF8" s="1807" t="s">
        <v>1915</v>
      </c>
      <c r="AG8" s="1807"/>
      <c r="AH8" s="1807"/>
      <c r="AI8" s="1807"/>
      <c r="AJ8" s="1807"/>
      <c r="AK8" s="1807"/>
      <c r="AL8" s="1807"/>
      <c r="AM8" s="1807"/>
      <c r="AN8" s="1807"/>
      <c r="AO8" s="1807"/>
      <c r="AP8" s="1808" t="s">
        <v>687</v>
      </c>
      <c r="AQ8" s="1808"/>
      <c r="AR8" s="1808"/>
      <c r="AS8" s="1808"/>
      <c r="AT8" s="1808"/>
      <c r="AU8" s="1808"/>
      <c r="AV8" s="968"/>
      <c r="AW8" s="968"/>
      <c r="AX8" s="968"/>
      <c r="AY8" s="968"/>
      <c r="AZ8" s="968"/>
      <c r="BA8" s="968"/>
      <c r="BB8" s="968"/>
      <c r="BC8" s="968"/>
      <c r="BD8" s="968"/>
      <c r="BE8" s="1107"/>
      <c r="BM8" s="965" t="s">
        <v>1916</v>
      </c>
    </row>
    <row r="9" spans="1:65" ht="14.5">
      <c r="A9" s="968"/>
      <c r="B9" s="968"/>
      <c r="C9" s="968"/>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1818" t="s">
        <v>1917</v>
      </c>
      <c r="AG9" s="1818"/>
      <c r="AH9" s="1818"/>
      <c r="AI9" s="1818"/>
      <c r="AJ9" s="1818"/>
      <c r="AK9" s="1818"/>
      <c r="AL9" s="1818"/>
      <c r="AM9" s="1818"/>
      <c r="AN9" s="1818"/>
      <c r="AO9" s="1818"/>
      <c r="AP9" s="1819"/>
      <c r="AQ9" s="1820"/>
      <c r="AR9" s="1820"/>
      <c r="AS9" s="1820"/>
      <c r="AT9" s="1820"/>
      <c r="AU9" s="1820"/>
      <c r="AV9" s="968"/>
      <c r="AW9" s="968"/>
      <c r="AX9" s="968"/>
      <c r="AY9" s="968"/>
      <c r="AZ9" s="968"/>
      <c r="BA9" s="968"/>
      <c r="BB9" s="968"/>
      <c r="BC9" s="968"/>
      <c r="BD9" s="968"/>
      <c r="BE9" s="1107"/>
      <c r="BM9" s="965" t="s">
        <v>1918</v>
      </c>
    </row>
    <row r="10" spans="1:65" ht="14.5">
      <c r="A10" s="967"/>
      <c r="B10" s="969" t="s">
        <v>1919</v>
      </c>
      <c r="C10" s="969"/>
      <c r="D10" s="969"/>
      <c r="E10" s="969"/>
      <c r="F10" s="969"/>
      <c r="G10" s="969"/>
      <c r="H10" s="969"/>
      <c r="I10" s="969"/>
      <c r="J10" s="969"/>
      <c r="K10" s="969"/>
      <c r="L10" s="969"/>
      <c r="M10" s="968"/>
      <c r="N10" s="1833">
        <f>Application!AO627</f>
        <v>1115000</v>
      </c>
      <c r="O10" s="1833"/>
      <c r="P10" s="1833"/>
      <c r="Q10" s="1833"/>
      <c r="R10" s="1833"/>
      <c r="S10" s="1833"/>
      <c r="T10" s="1833"/>
      <c r="U10" s="968"/>
      <c r="V10" s="968"/>
      <c r="W10" s="968"/>
      <c r="X10" s="970"/>
      <c r="Y10" s="970"/>
      <c r="Z10" s="970"/>
      <c r="AA10" s="970"/>
      <c r="AB10" s="970"/>
      <c r="AC10" s="970"/>
      <c r="AD10" s="970"/>
      <c r="AE10" s="970"/>
      <c r="AF10" s="1818" t="s">
        <v>1920</v>
      </c>
      <c r="AG10" s="1818"/>
      <c r="AH10" s="1818"/>
      <c r="AI10" s="1818"/>
      <c r="AJ10" s="1818"/>
      <c r="AK10" s="1818"/>
      <c r="AL10" s="1818"/>
      <c r="AM10" s="1818"/>
      <c r="AN10" s="1818"/>
      <c r="AO10" s="1818"/>
      <c r="AP10" s="1819"/>
      <c r="AQ10" s="1820"/>
      <c r="AR10" s="1820"/>
      <c r="AS10" s="1820"/>
      <c r="AT10" s="1820"/>
      <c r="AU10" s="1820"/>
      <c r="AV10" s="970"/>
      <c r="AW10" s="970"/>
      <c r="AX10" s="968"/>
      <c r="AY10" s="968"/>
      <c r="AZ10" s="968"/>
      <c r="BA10" s="968"/>
      <c r="BB10" s="968"/>
      <c r="BC10" s="968"/>
      <c r="BD10" s="968"/>
      <c r="BE10" s="1107"/>
      <c r="BM10" s="965" t="s">
        <v>1921</v>
      </c>
    </row>
    <row r="11" spans="1:65" ht="14.5">
      <c r="A11" s="967"/>
      <c r="B11" s="969" t="s">
        <v>1922</v>
      </c>
      <c r="C11" s="969"/>
      <c r="D11" s="969"/>
      <c r="E11" s="969"/>
      <c r="F11" s="969"/>
      <c r="G11" s="969"/>
      <c r="H11" s="969"/>
      <c r="I11" s="969"/>
      <c r="J11" s="969"/>
      <c r="K11" s="969"/>
      <c r="L11" s="969"/>
      <c r="M11" s="968"/>
      <c r="N11" s="1833">
        <f>Application!AA933</f>
        <v>0</v>
      </c>
      <c r="O11" s="1833"/>
      <c r="P11" s="1833"/>
      <c r="Q11" s="1833"/>
      <c r="R11" s="1833"/>
      <c r="S11" s="1833"/>
      <c r="T11" s="1833"/>
      <c r="U11" s="968"/>
      <c r="V11" s="968"/>
      <c r="W11" s="968"/>
      <c r="X11" s="970"/>
      <c r="Y11" s="970"/>
      <c r="Z11" s="970"/>
      <c r="AA11" s="970"/>
      <c r="AB11" s="970"/>
      <c r="AC11" s="970"/>
      <c r="AD11" s="970"/>
      <c r="AE11" s="970"/>
      <c r="AF11" s="1818" t="s">
        <v>1923</v>
      </c>
      <c r="AG11" s="1818"/>
      <c r="AH11" s="1818"/>
      <c r="AI11" s="1818"/>
      <c r="AJ11" s="1818"/>
      <c r="AK11" s="1818"/>
      <c r="AL11" s="1818"/>
      <c r="AM11" s="1818"/>
      <c r="AN11" s="1818"/>
      <c r="AO11" s="1818"/>
      <c r="AP11" s="1819"/>
      <c r="AQ11" s="1820"/>
      <c r="AR11" s="1820"/>
      <c r="AS11" s="1820"/>
      <c r="AT11" s="1820"/>
      <c r="AU11" s="1820"/>
      <c r="AV11" s="970"/>
      <c r="AW11" s="970"/>
      <c r="AX11" s="968"/>
      <c r="AY11" s="968"/>
      <c r="AZ11" s="968"/>
      <c r="BA11" s="968"/>
      <c r="BB11" s="968"/>
      <c r="BC11" s="968"/>
      <c r="BD11" s="968"/>
      <c r="BE11" s="1107"/>
      <c r="BM11" s="965" t="s">
        <v>687</v>
      </c>
    </row>
    <row r="12" spans="1:65" ht="15" thickBot="1">
      <c r="A12" s="968"/>
      <c r="B12" s="968"/>
      <c r="C12" s="968"/>
      <c r="D12" s="968"/>
      <c r="E12" s="968"/>
      <c r="F12" s="968"/>
      <c r="G12" s="968"/>
      <c r="H12" s="968"/>
      <c r="I12" s="968"/>
      <c r="J12" s="968"/>
      <c r="K12" s="968"/>
      <c r="L12" s="968"/>
      <c r="M12" s="968"/>
      <c r="N12" s="968"/>
      <c r="O12" s="968"/>
      <c r="P12" s="968"/>
      <c r="Q12" s="968"/>
      <c r="R12" s="968"/>
      <c r="S12" s="968"/>
      <c r="T12" s="968"/>
      <c r="U12" s="968"/>
      <c r="V12" s="968"/>
      <c r="W12" s="968"/>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c r="AU12" s="970"/>
      <c r="AV12" s="968"/>
      <c r="AW12" s="968"/>
      <c r="AX12" s="968"/>
      <c r="AY12" s="968"/>
      <c r="AZ12" s="968"/>
      <c r="BA12" s="968"/>
      <c r="BB12" s="968"/>
      <c r="BC12" s="968"/>
      <c r="BD12" s="968"/>
      <c r="BE12" s="971"/>
      <c r="BM12" s="965" t="s">
        <v>1924</v>
      </c>
    </row>
    <row r="13" spans="1:65" ht="15" thickBot="1">
      <c r="A13" s="968"/>
      <c r="B13" s="1821" t="s">
        <v>1925</v>
      </c>
      <c r="C13" s="1822"/>
      <c r="D13" s="1822"/>
      <c r="E13" s="1822"/>
      <c r="F13" s="1822"/>
      <c r="G13" s="1822"/>
      <c r="H13" s="1822"/>
      <c r="I13" s="1822"/>
      <c r="J13" s="1822"/>
      <c r="K13" s="1822"/>
      <c r="L13" s="1822"/>
      <c r="M13" s="1822"/>
      <c r="N13" s="1822"/>
      <c r="O13" s="1822"/>
      <c r="P13" s="1823"/>
      <c r="Q13" s="1824" t="s">
        <v>695</v>
      </c>
      <c r="R13" s="1825"/>
      <c r="S13" s="1825"/>
      <c r="T13" s="1826"/>
      <c r="U13" s="970"/>
      <c r="V13" s="968"/>
      <c r="W13" s="968"/>
      <c r="X13" s="968"/>
      <c r="Y13" s="968"/>
      <c r="Z13" s="968"/>
      <c r="AA13" s="1827" t="s">
        <v>1926</v>
      </c>
      <c r="AB13" s="1827"/>
      <c r="AC13" s="1827"/>
      <c r="AD13" s="1827"/>
      <c r="AE13" s="1827"/>
      <c r="AF13" s="1827"/>
      <c r="AG13" s="1827"/>
      <c r="AH13" s="1827"/>
      <c r="AI13" s="1827"/>
      <c r="AJ13" s="1827"/>
      <c r="AK13" s="1827"/>
      <c r="AL13" s="1827"/>
      <c r="AM13" s="1827"/>
      <c r="AN13" s="1827"/>
      <c r="AO13" s="1828">
        <f>Application!W473</f>
        <v>0</v>
      </c>
      <c r="AP13" s="1829"/>
      <c r="AQ13" s="1829"/>
      <c r="AR13" s="1829"/>
      <c r="AS13" s="1829"/>
      <c r="AT13" s="970"/>
      <c r="AU13" s="970"/>
      <c r="AV13" s="970"/>
      <c r="AW13" s="970"/>
      <c r="AX13" s="970"/>
      <c r="AY13" s="970"/>
      <c r="AZ13" s="970"/>
      <c r="BA13" s="970"/>
      <c r="BB13" s="970"/>
      <c r="BC13" s="970"/>
      <c r="BD13" s="970"/>
      <c r="BE13" s="971"/>
      <c r="BM13" s="965" t="s">
        <v>1927</v>
      </c>
    </row>
    <row r="14" spans="1:65" ht="15"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1830" t="s">
        <v>1928</v>
      </c>
      <c r="AB14" s="1830"/>
      <c r="AC14" s="1830"/>
      <c r="AD14" s="1830"/>
      <c r="AE14" s="1830"/>
      <c r="AF14" s="1830"/>
      <c r="AG14" s="1830"/>
      <c r="AH14" s="1830"/>
      <c r="AI14" s="1830"/>
      <c r="AJ14" s="1830"/>
      <c r="AK14" s="1830"/>
      <c r="AL14" s="1830"/>
      <c r="AM14" s="1830"/>
      <c r="AN14" s="1830"/>
      <c r="AO14" s="1831"/>
      <c r="AP14" s="1832"/>
      <c r="AQ14" s="1832"/>
      <c r="AR14" s="1832"/>
      <c r="AS14" s="1832"/>
      <c r="AT14" s="970"/>
      <c r="AU14" s="970"/>
      <c r="AV14" s="970"/>
      <c r="AW14" s="970"/>
      <c r="AX14" s="970"/>
      <c r="AY14" s="970"/>
      <c r="AZ14" s="970"/>
      <c r="BA14" s="970"/>
      <c r="BB14" s="970"/>
      <c r="BC14" s="970"/>
      <c r="BD14" s="970"/>
      <c r="BE14" s="971"/>
    </row>
    <row r="15" spans="1:65" ht="15" thickBot="1">
      <c r="A15" s="968"/>
      <c r="B15" s="1834" t="s">
        <v>1929</v>
      </c>
      <c r="C15" s="1835"/>
      <c r="D15" s="1835"/>
      <c r="E15" s="1835"/>
      <c r="F15" s="1835"/>
      <c r="G15" s="1835"/>
      <c r="H15" s="1835"/>
      <c r="I15" s="1835"/>
      <c r="J15" s="1835"/>
      <c r="K15" s="1835"/>
      <c r="L15" s="1835"/>
      <c r="M15" s="1835"/>
      <c r="N15" s="1835"/>
      <c r="O15" s="1835"/>
      <c r="P15" s="1835"/>
      <c r="Q15" s="1835"/>
      <c r="R15" s="1836"/>
      <c r="S15" s="1837" t="str">
        <f>IF(Application!AB214="","",Application!AB214)</f>
        <v/>
      </c>
      <c r="T15" s="1837"/>
      <c r="U15" s="1837"/>
      <c r="V15" s="1837"/>
      <c r="W15" s="1838"/>
      <c r="X15" s="970"/>
      <c r="Y15" s="968"/>
      <c r="Z15" s="968"/>
      <c r="AA15" s="1827" t="s">
        <v>1930</v>
      </c>
      <c r="AB15" s="1827"/>
      <c r="AC15" s="1827"/>
      <c r="AD15" s="1827"/>
      <c r="AE15" s="1827"/>
      <c r="AF15" s="1827"/>
      <c r="AG15" s="1827"/>
      <c r="AH15" s="1827"/>
      <c r="AI15" s="1827"/>
      <c r="AJ15" s="1827"/>
      <c r="AK15" s="1827"/>
      <c r="AL15" s="1827"/>
      <c r="AM15" s="1827"/>
      <c r="AN15" s="1827"/>
      <c r="AO15" s="1831"/>
      <c r="AP15" s="1832"/>
      <c r="AQ15" s="1832"/>
      <c r="AR15" s="1832"/>
      <c r="AS15" s="1832"/>
      <c r="AT15" s="970"/>
      <c r="AU15" s="970"/>
      <c r="AV15" s="970"/>
      <c r="AW15" s="970"/>
      <c r="AX15" s="970"/>
      <c r="AY15" s="970"/>
      <c r="AZ15" s="970"/>
      <c r="BA15" s="970"/>
      <c r="BB15" s="970"/>
      <c r="BC15" s="970"/>
      <c r="BD15" s="970"/>
      <c r="BE15" s="971"/>
    </row>
    <row r="16" spans="1:65" ht="15" thickBot="1">
      <c r="A16" s="967"/>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c r="AR16" s="968"/>
      <c r="AS16" s="968"/>
      <c r="AT16" s="968"/>
      <c r="AU16" s="968"/>
      <c r="AV16" s="968"/>
      <c r="AW16" s="968"/>
      <c r="AX16" s="968"/>
      <c r="AY16" s="968"/>
      <c r="AZ16" s="968"/>
      <c r="BA16" s="968"/>
      <c r="BB16" s="968"/>
      <c r="BC16" s="968"/>
      <c r="BD16" s="968"/>
      <c r="BE16" s="971"/>
    </row>
    <row r="17" spans="1:58" ht="14.5">
      <c r="A17" s="968"/>
      <c r="B17" s="1839" t="s">
        <v>1931</v>
      </c>
      <c r="C17" s="1840"/>
      <c r="D17" s="1840"/>
      <c r="E17" s="1840"/>
      <c r="F17" s="184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1"/>
      <c r="AZ17" s="968"/>
      <c r="BA17" s="968"/>
      <c r="BB17" s="968"/>
      <c r="BC17" s="968"/>
      <c r="BD17" s="968"/>
      <c r="BE17" s="971"/>
      <c r="BF17" s="966"/>
    </row>
    <row r="18" spans="1:58" ht="15.75" customHeight="1">
      <c r="A18" s="968"/>
      <c r="B18" s="1842" t="s">
        <v>1932</v>
      </c>
      <c r="C18" s="1843"/>
      <c r="D18" s="1843"/>
      <c r="E18" s="1843"/>
      <c r="F18" s="1843"/>
      <c r="G18" s="1843"/>
      <c r="H18" s="1843"/>
      <c r="I18" s="1844"/>
      <c r="J18" s="1845" t="s">
        <v>1933</v>
      </c>
      <c r="K18" s="1846"/>
      <c r="L18" s="1846"/>
      <c r="M18" s="1846"/>
      <c r="N18" s="1846"/>
      <c r="O18" s="1847"/>
      <c r="P18" s="1845" t="s">
        <v>832</v>
      </c>
      <c r="Q18" s="1846"/>
      <c r="R18" s="1846"/>
      <c r="S18" s="1846"/>
      <c r="T18" s="1846"/>
      <c r="U18" s="1847"/>
      <c r="V18" s="1845" t="s">
        <v>833</v>
      </c>
      <c r="W18" s="1846"/>
      <c r="X18" s="1846"/>
      <c r="Y18" s="1846"/>
      <c r="Z18" s="1846"/>
      <c r="AA18" s="1847"/>
      <c r="AB18" s="1845" t="s">
        <v>834</v>
      </c>
      <c r="AC18" s="1846"/>
      <c r="AD18" s="1846"/>
      <c r="AE18" s="1846"/>
      <c r="AF18" s="1846"/>
      <c r="AG18" s="1847"/>
      <c r="AH18" s="1845" t="s">
        <v>835</v>
      </c>
      <c r="AI18" s="1846"/>
      <c r="AJ18" s="1846"/>
      <c r="AK18" s="1846"/>
      <c r="AL18" s="1846"/>
      <c r="AM18" s="1847"/>
      <c r="AN18" s="1845" t="s">
        <v>836</v>
      </c>
      <c r="AO18" s="1846"/>
      <c r="AP18" s="1846"/>
      <c r="AQ18" s="1846"/>
      <c r="AR18" s="1846"/>
      <c r="AS18" s="1847"/>
      <c r="AT18" s="1845" t="s">
        <v>1934</v>
      </c>
      <c r="AU18" s="1846"/>
      <c r="AV18" s="1846"/>
      <c r="AW18" s="1846"/>
      <c r="AX18" s="1846"/>
      <c r="AY18" s="1848"/>
      <c r="AZ18" s="968"/>
      <c r="BA18" s="968"/>
      <c r="BB18" s="968"/>
      <c r="BC18" s="968"/>
      <c r="BD18" s="968"/>
      <c r="BE18" s="971"/>
    </row>
    <row r="19" spans="1:58" ht="14.5">
      <c r="A19" s="968"/>
      <c r="B19" s="1849">
        <v>0.3</v>
      </c>
      <c r="C19" s="1850"/>
      <c r="D19" s="1850"/>
      <c r="E19" s="1850"/>
      <c r="F19" s="1850"/>
      <c r="G19" s="1850"/>
      <c r="H19" s="1850"/>
      <c r="I19" s="1851"/>
      <c r="J19" s="1852">
        <f t="shared" ref="J19:J24" si="0">SUM(P19:AS19)</f>
        <v>24</v>
      </c>
      <c r="K19" s="1853"/>
      <c r="L19" s="1853"/>
      <c r="M19" s="1853"/>
      <c r="N19" s="1853"/>
      <c r="O19" s="1854"/>
      <c r="P19" s="1852" cm="1">
        <f t="array" ref="P19">SUMPRODUCT((Application!$B$718:$B$752 = 'CalHFA Addendum'!P$18)*(Application!$AC$718:$AC$752 = 'CalHFA Addendum'!$B19),Application!$G$718:$G$752)</f>
        <v>0</v>
      </c>
      <c r="Q19" s="1853"/>
      <c r="R19" s="1853"/>
      <c r="S19" s="1853"/>
      <c r="T19" s="1853"/>
      <c r="U19" s="1854"/>
      <c r="V19" s="1852" cm="1">
        <f t="array" ref="V19">SUMPRODUCT((Application!$B$714:$B$738 = 'CalHFA Addendum'!V$18)*(Application!$AC$714:$AC$738 = 'CalHFA Addendum'!$B19),Application!$G$714:$G$738)</f>
        <v>21</v>
      </c>
      <c r="W19" s="1853"/>
      <c r="X19" s="1853"/>
      <c r="Y19" s="1853"/>
      <c r="Z19" s="1853"/>
      <c r="AA19" s="1854"/>
      <c r="AB19" s="1852" cm="1">
        <f t="array" ref="AB19">SUMPRODUCT((Application!$B$714:$B$738 = 'CalHFA Addendum'!AB$18)*(Application!$AC$714:$AC$738 = 'CalHFA Addendum'!$B19),Application!$G$714:$G$738)</f>
        <v>3</v>
      </c>
      <c r="AC19" s="1853"/>
      <c r="AD19" s="1853"/>
      <c r="AE19" s="1853"/>
      <c r="AF19" s="1853"/>
      <c r="AG19" s="1854"/>
      <c r="AH19" s="1852" cm="1">
        <f t="array" ref="AH19">SUMPRODUCT((Application!$B$714:$B$738 = 'CalHFA Addendum'!AH$18)*(Application!$AC$714:$AC$738 = 'CalHFA Addendum'!$B19),Application!$G$714:$G$738)</f>
        <v>0</v>
      </c>
      <c r="AI19" s="1853"/>
      <c r="AJ19" s="1853"/>
      <c r="AK19" s="1853"/>
      <c r="AL19" s="1853"/>
      <c r="AM19" s="1854"/>
      <c r="AN19" s="1852" cm="1">
        <f t="array" ref="AN19">SUMPRODUCT((Application!$B$714:$B$738 = 'CalHFA Addendum'!AN$18)*(Application!$AC$714:$AC$738 = 'CalHFA Addendum'!$B19),Application!$G$714:$G$738)</f>
        <v>0</v>
      </c>
      <c r="AO19" s="1853"/>
      <c r="AP19" s="1853"/>
      <c r="AQ19" s="1853"/>
      <c r="AR19" s="1853"/>
      <c r="AS19" s="1854"/>
      <c r="AT19" s="1855">
        <f t="shared" ref="AT19:AT29" si="1">J19/$J$29</f>
        <v>0.3</v>
      </c>
      <c r="AU19" s="1856"/>
      <c r="AV19" s="1856"/>
      <c r="AW19" s="1856"/>
      <c r="AX19" s="1856"/>
      <c r="AY19" s="1857"/>
      <c r="AZ19" s="972"/>
      <c r="BA19" s="968"/>
      <c r="BB19" s="968"/>
      <c r="BC19" s="968"/>
      <c r="BD19" s="968"/>
      <c r="BE19" s="971"/>
    </row>
    <row r="20" spans="1:58" ht="15" customHeight="1">
      <c r="A20" s="968"/>
      <c r="B20" s="1849">
        <v>0.4</v>
      </c>
      <c r="C20" s="1850"/>
      <c r="D20" s="1850"/>
      <c r="E20" s="1850"/>
      <c r="F20" s="1850"/>
      <c r="G20" s="1850"/>
      <c r="H20" s="1850"/>
      <c r="I20" s="1851"/>
      <c r="J20" s="1852">
        <f t="shared" si="0"/>
        <v>8</v>
      </c>
      <c r="K20" s="1853"/>
      <c r="L20" s="1853"/>
      <c r="M20" s="1853"/>
      <c r="N20" s="1853"/>
      <c r="O20" s="1854"/>
      <c r="P20" s="1852" cm="1">
        <f t="array" ref="P20">SUMPRODUCT((Application!$B$718:$B$752 = 'CalHFA Addendum'!P$18)*(Application!$AC$718:$AC$752 = 'CalHFA Addendum'!$B20),Application!$G$718:$G$752)</f>
        <v>0</v>
      </c>
      <c r="Q20" s="1853"/>
      <c r="R20" s="1853"/>
      <c r="S20" s="1853"/>
      <c r="T20" s="1853"/>
      <c r="U20" s="1854"/>
      <c r="V20" s="1852" cm="1">
        <f t="array" ref="V20">SUMPRODUCT((Application!$B$714:$B$738 = 'CalHFA Addendum'!V$18)*(Application!$AC$714:$AC$738 = 'CalHFA Addendum'!$B20),Application!$G$714:$G$738)</f>
        <v>7</v>
      </c>
      <c r="W20" s="1853"/>
      <c r="X20" s="1853"/>
      <c r="Y20" s="1853"/>
      <c r="Z20" s="1853"/>
      <c r="AA20" s="1854"/>
      <c r="AB20" s="1852" cm="1">
        <f t="array" ref="AB20">SUMPRODUCT((Application!$B$714:$B$738 = 'CalHFA Addendum'!AB$18)*(Application!$AC$714:$AC$738 = 'CalHFA Addendum'!$B20),Application!$G$714:$G$738)</f>
        <v>1</v>
      </c>
      <c r="AC20" s="1853"/>
      <c r="AD20" s="1853"/>
      <c r="AE20" s="1853"/>
      <c r="AF20" s="1853"/>
      <c r="AG20" s="1854"/>
      <c r="AH20" s="1852" cm="1">
        <f t="array" ref="AH20">SUMPRODUCT((Application!$B$714:$B$738 = 'CalHFA Addendum'!AH$18)*(Application!$AC$714:$AC$738 = 'CalHFA Addendum'!$B20),Application!$G$714:$G$738)</f>
        <v>0</v>
      </c>
      <c r="AI20" s="1853"/>
      <c r="AJ20" s="1853"/>
      <c r="AK20" s="1853"/>
      <c r="AL20" s="1853"/>
      <c r="AM20" s="1854"/>
      <c r="AN20" s="1852" cm="1">
        <f t="array" ref="AN20">SUMPRODUCT((Application!$B$714:$B$738 = 'CalHFA Addendum'!AN$18)*(Application!$AC$714:$AC$738 = 'CalHFA Addendum'!$B20),Application!$G$714:$G$738)</f>
        <v>0</v>
      </c>
      <c r="AO20" s="1853"/>
      <c r="AP20" s="1853"/>
      <c r="AQ20" s="1853"/>
      <c r="AR20" s="1853"/>
      <c r="AS20" s="1854"/>
      <c r="AT20" s="1855">
        <f t="shared" si="1"/>
        <v>0.1</v>
      </c>
      <c r="AU20" s="1856"/>
      <c r="AV20" s="1856"/>
      <c r="AW20" s="1856"/>
      <c r="AX20" s="1856"/>
      <c r="AY20" s="1857"/>
      <c r="AZ20" s="968"/>
      <c r="BA20" s="968"/>
      <c r="BB20" s="968"/>
      <c r="BC20" s="968"/>
      <c r="BD20" s="968"/>
      <c r="BE20" s="971"/>
    </row>
    <row r="21" spans="1:58" ht="14.5">
      <c r="A21" s="968"/>
      <c r="B21" s="1849">
        <v>0.5</v>
      </c>
      <c r="C21" s="1850"/>
      <c r="D21" s="1850"/>
      <c r="E21" s="1850"/>
      <c r="F21" s="1850"/>
      <c r="G21" s="1850"/>
      <c r="H21" s="1850"/>
      <c r="I21" s="1851"/>
      <c r="J21" s="1852">
        <f t="shared" si="0"/>
        <v>32</v>
      </c>
      <c r="K21" s="1853"/>
      <c r="L21" s="1853"/>
      <c r="M21" s="1853"/>
      <c r="N21" s="1853"/>
      <c r="O21" s="1854"/>
      <c r="P21" s="1852" cm="1">
        <f t="array" ref="P21">SUMPRODUCT((Application!$B$714:$B$738 = 'CalHFA Addendum'!P$18)*(Application!$AC$714:$AC$738 = 'CalHFA Addendum'!$B21),Application!$G$714:$G$738)</f>
        <v>0</v>
      </c>
      <c r="Q21" s="1853"/>
      <c r="R21" s="1853"/>
      <c r="S21" s="1853"/>
      <c r="T21" s="1853"/>
      <c r="U21" s="1854"/>
      <c r="V21" s="1852" cm="1">
        <f t="array" ref="V21">SUMPRODUCT((Application!$B$714:$B$738 = 'CalHFA Addendum'!V$18)*(Application!$AC$714:$AC$738 = 'CalHFA Addendum'!$B21),Application!$G$714:$G$738)</f>
        <v>28</v>
      </c>
      <c r="W21" s="1853"/>
      <c r="X21" s="1853"/>
      <c r="Y21" s="1853"/>
      <c r="Z21" s="1853"/>
      <c r="AA21" s="1854"/>
      <c r="AB21" s="1852" cm="1">
        <f t="array" ref="AB21">SUMPRODUCT((Application!$B$714:$B$738 = 'CalHFA Addendum'!AB$18)*(Application!$AC$714:$AC$738 = 'CalHFA Addendum'!$B21),Application!$G$714:$G$738)</f>
        <v>4</v>
      </c>
      <c r="AC21" s="1853"/>
      <c r="AD21" s="1853"/>
      <c r="AE21" s="1853"/>
      <c r="AF21" s="1853"/>
      <c r="AG21" s="1854"/>
      <c r="AH21" s="1852" cm="1">
        <f t="array" ref="AH21">SUMPRODUCT((Application!$B$714:$B$738 = 'CalHFA Addendum'!AH$18)*(Application!$AC$714:$AC$738 = 'CalHFA Addendum'!$B21),Application!$G$714:$G$738)</f>
        <v>0</v>
      </c>
      <c r="AI21" s="1853"/>
      <c r="AJ21" s="1853"/>
      <c r="AK21" s="1853"/>
      <c r="AL21" s="1853"/>
      <c r="AM21" s="1854"/>
      <c r="AN21" s="1852" cm="1">
        <f t="array" ref="AN21">SUMPRODUCT((Application!$B$714:$B$738 = 'CalHFA Addendum'!AN$18)*(Application!$AC$714:$AC$738 = 'CalHFA Addendum'!$B21),Application!$G$714:$G$738)</f>
        <v>0</v>
      </c>
      <c r="AO21" s="1853"/>
      <c r="AP21" s="1853"/>
      <c r="AQ21" s="1853"/>
      <c r="AR21" s="1853"/>
      <c r="AS21" s="1854"/>
      <c r="AT21" s="1855">
        <f t="shared" si="1"/>
        <v>0.4</v>
      </c>
      <c r="AU21" s="1856"/>
      <c r="AV21" s="1856"/>
      <c r="AW21" s="1856"/>
      <c r="AX21" s="1856"/>
      <c r="AY21" s="1857"/>
      <c r="AZ21" s="968"/>
      <c r="BA21" s="968"/>
      <c r="BB21" s="968"/>
      <c r="BC21" s="968"/>
      <c r="BD21" s="968"/>
      <c r="BE21" s="971"/>
    </row>
    <row r="22" spans="1:58" ht="14.5">
      <c r="A22" s="968"/>
      <c r="B22" s="1849">
        <v>0.6</v>
      </c>
      <c r="C22" s="1850"/>
      <c r="D22" s="1850"/>
      <c r="E22" s="1850"/>
      <c r="F22" s="1850"/>
      <c r="G22" s="1850"/>
      <c r="H22" s="1850"/>
      <c r="I22" s="1851"/>
      <c r="J22" s="1852">
        <f t="shared" si="0"/>
        <v>0</v>
      </c>
      <c r="K22" s="1853"/>
      <c r="L22" s="1853"/>
      <c r="M22" s="1853"/>
      <c r="N22" s="1853"/>
      <c r="O22" s="1854"/>
      <c r="P22" s="1852" cm="1">
        <f t="array" ref="P22">SUMPRODUCT((Application!$B$714:$B$738 = 'CalHFA Addendum'!P$18)*(Application!$AC$714:$AC$738 = 'CalHFA Addendum'!$B22),Application!$G$714:$G$738)</f>
        <v>0</v>
      </c>
      <c r="Q22" s="1853"/>
      <c r="R22" s="1853"/>
      <c r="S22" s="1853"/>
      <c r="T22" s="1853"/>
      <c r="U22" s="1854"/>
      <c r="V22" s="1852" cm="1">
        <f t="array" ref="V22">SUMPRODUCT((Application!$B$714:$B$738 = 'CalHFA Addendum'!V$18)*(Application!$AC$714:$AC$738 = 'CalHFA Addendum'!$B22),Application!$G$714:$G$738)</f>
        <v>0</v>
      </c>
      <c r="W22" s="1853"/>
      <c r="X22" s="1853"/>
      <c r="Y22" s="1853"/>
      <c r="Z22" s="1853"/>
      <c r="AA22" s="1854"/>
      <c r="AB22" s="1852" cm="1">
        <f t="array" ref="AB22">SUMPRODUCT((Application!$B$714:$B$738 = 'CalHFA Addendum'!AB$18)*(Application!$AC$714:$AC$738 = 'CalHFA Addendum'!$B22),Application!$G$714:$G$738)</f>
        <v>0</v>
      </c>
      <c r="AC22" s="1853"/>
      <c r="AD22" s="1853"/>
      <c r="AE22" s="1853"/>
      <c r="AF22" s="1853"/>
      <c r="AG22" s="1854"/>
      <c r="AH22" s="1852" cm="1">
        <f t="array" ref="AH22">SUMPRODUCT((Application!$B$714:$B$738 = 'CalHFA Addendum'!AH$18)*(Application!$AC$714:$AC$738 = 'CalHFA Addendum'!$B22),Application!$G$714:$G$738)</f>
        <v>0</v>
      </c>
      <c r="AI22" s="1853"/>
      <c r="AJ22" s="1853"/>
      <c r="AK22" s="1853"/>
      <c r="AL22" s="1853"/>
      <c r="AM22" s="1854"/>
      <c r="AN22" s="1852" cm="1">
        <f t="array" ref="AN22">SUMPRODUCT((Application!$B$714:$B$738 = 'CalHFA Addendum'!AN$18)*(Application!$AC$714:$AC$738 = 'CalHFA Addendum'!$B22),Application!$G$714:$G$738)</f>
        <v>0</v>
      </c>
      <c r="AO22" s="1853"/>
      <c r="AP22" s="1853"/>
      <c r="AQ22" s="1853"/>
      <c r="AR22" s="1853"/>
      <c r="AS22" s="1854"/>
      <c r="AT22" s="1855">
        <f t="shared" si="1"/>
        <v>0</v>
      </c>
      <c r="AU22" s="1856"/>
      <c r="AV22" s="1856"/>
      <c r="AW22" s="1856"/>
      <c r="AX22" s="1856"/>
      <c r="AY22" s="1857"/>
      <c r="AZ22" s="968"/>
      <c r="BA22" s="968"/>
      <c r="BB22" s="968"/>
      <c r="BC22" s="968"/>
      <c r="BD22" s="968"/>
      <c r="BE22" s="971"/>
    </row>
    <row r="23" spans="1:58" ht="14.5">
      <c r="A23" s="968"/>
      <c r="B23" s="1849">
        <v>0.7</v>
      </c>
      <c r="C23" s="1850"/>
      <c r="D23" s="1850"/>
      <c r="E23" s="1850"/>
      <c r="F23" s="1850"/>
      <c r="G23" s="1850"/>
      <c r="H23" s="1850"/>
      <c r="I23" s="1851"/>
      <c r="J23" s="1852">
        <f t="shared" si="0"/>
        <v>0</v>
      </c>
      <c r="K23" s="1853"/>
      <c r="L23" s="1853"/>
      <c r="M23" s="1853"/>
      <c r="N23" s="1853"/>
      <c r="O23" s="1854"/>
      <c r="P23" s="1852" cm="1">
        <f t="array" ref="P23">SUMPRODUCT((Application!$B$714:$B$738 = 'CalHFA Addendum'!P$18)*(Application!$AC$714:$AC$738 = 'CalHFA Addendum'!$B23),Application!$G$714:$G$738)</f>
        <v>0</v>
      </c>
      <c r="Q23" s="1853"/>
      <c r="R23" s="1853"/>
      <c r="S23" s="1853"/>
      <c r="T23" s="1853"/>
      <c r="U23" s="1854"/>
      <c r="V23" s="1852" cm="1">
        <f t="array" ref="V23">SUMPRODUCT((Application!$B$714:$B$738 = 'CalHFA Addendum'!V$18)*(Application!$AC$714:$AC$738 = 'CalHFA Addendum'!$B23),Application!$G$714:$G$738)</f>
        <v>0</v>
      </c>
      <c r="W23" s="1853"/>
      <c r="X23" s="1853"/>
      <c r="Y23" s="1853"/>
      <c r="Z23" s="1853"/>
      <c r="AA23" s="1854"/>
      <c r="AB23" s="1852" cm="1">
        <f t="array" ref="AB23">SUMPRODUCT((Application!$B$714:$B$738 = 'CalHFA Addendum'!AB$18)*(Application!$AC$714:$AC$738 = 'CalHFA Addendum'!$B23),Application!$G$714:$G$738)</f>
        <v>0</v>
      </c>
      <c r="AC23" s="1853"/>
      <c r="AD23" s="1853"/>
      <c r="AE23" s="1853"/>
      <c r="AF23" s="1853"/>
      <c r="AG23" s="1854"/>
      <c r="AH23" s="1852" cm="1">
        <f t="array" ref="AH23">SUMPRODUCT((Application!$B$714:$B$738 = 'CalHFA Addendum'!AH$18)*(Application!$AC$714:$AC$738 = 'CalHFA Addendum'!$B23),Application!$G$714:$G$738)</f>
        <v>0</v>
      </c>
      <c r="AI23" s="1853"/>
      <c r="AJ23" s="1853"/>
      <c r="AK23" s="1853"/>
      <c r="AL23" s="1853"/>
      <c r="AM23" s="1854"/>
      <c r="AN23" s="1852" cm="1">
        <f t="array" ref="AN23">SUMPRODUCT((Application!$B$714:$B$738 = 'CalHFA Addendum'!AN$18)*(Application!$AC$714:$AC$738 = 'CalHFA Addendum'!$B23),Application!$G$714:$G$738)</f>
        <v>0</v>
      </c>
      <c r="AO23" s="1853"/>
      <c r="AP23" s="1853"/>
      <c r="AQ23" s="1853"/>
      <c r="AR23" s="1853"/>
      <c r="AS23" s="1854"/>
      <c r="AT23" s="1855">
        <f t="shared" si="1"/>
        <v>0</v>
      </c>
      <c r="AU23" s="1856"/>
      <c r="AV23" s="1856"/>
      <c r="AW23" s="1856"/>
      <c r="AX23" s="1856"/>
      <c r="AY23" s="1857"/>
      <c r="AZ23" s="968"/>
      <c r="BA23" s="968"/>
      <c r="BB23" s="968"/>
      <c r="BC23" s="968"/>
      <c r="BD23" s="968"/>
      <c r="BE23" s="971"/>
    </row>
    <row r="24" spans="1:58" ht="14.5">
      <c r="A24" s="968"/>
      <c r="B24" s="1849">
        <v>0.8</v>
      </c>
      <c r="C24" s="1850"/>
      <c r="D24" s="1850"/>
      <c r="E24" s="1850"/>
      <c r="F24" s="1850"/>
      <c r="G24" s="1850"/>
      <c r="H24" s="1850"/>
      <c r="I24" s="1851"/>
      <c r="J24" s="1852">
        <f t="shared" si="0"/>
        <v>15</v>
      </c>
      <c r="K24" s="1853"/>
      <c r="L24" s="1853"/>
      <c r="M24" s="1853"/>
      <c r="N24" s="1853"/>
      <c r="O24" s="1854"/>
      <c r="P24" s="1852" cm="1">
        <f t="array" ref="P24">SUMPRODUCT((Application!$B$714:$B$738 = 'CalHFA Addendum'!P$18)*(Application!$AC$714:$AC$738 = 'CalHFA Addendum'!$B24),Application!$G$714:$G$738)</f>
        <v>0</v>
      </c>
      <c r="Q24" s="1853"/>
      <c r="R24" s="1853"/>
      <c r="S24" s="1853"/>
      <c r="T24" s="1853"/>
      <c r="U24" s="1854"/>
      <c r="V24" s="1852" cm="1">
        <f t="array" ref="V24">SUMPRODUCT((Application!$B$714:$B$738 = 'CalHFA Addendum'!V$18)*(Application!$AC$714:$AC$738 = 'CalHFA Addendum'!$B24),Application!$G$714:$G$738)</f>
        <v>8</v>
      </c>
      <c r="W24" s="1853"/>
      <c r="X24" s="1853"/>
      <c r="Y24" s="1853"/>
      <c r="Z24" s="1853"/>
      <c r="AA24" s="1854"/>
      <c r="AB24" s="1852" cm="1">
        <f t="array" ref="AB24">SUMPRODUCT((Application!$B$714:$B$738 = 'CalHFA Addendum'!AB$18)*(Application!$AC$714:$AC$738 = 'CalHFA Addendum'!$B24),Application!$G$714:$G$738)</f>
        <v>7</v>
      </c>
      <c r="AC24" s="1853"/>
      <c r="AD24" s="1853"/>
      <c r="AE24" s="1853"/>
      <c r="AF24" s="1853"/>
      <c r="AG24" s="1854"/>
      <c r="AH24" s="1852" cm="1">
        <f t="array" ref="AH24">SUMPRODUCT((Application!$B$714:$B$738 = 'CalHFA Addendum'!AH$18)*(Application!$AC$714:$AC$738 = 'CalHFA Addendum'!$B24),Application!$G$714:$G$738)</f>
        <v>0</v>
      </c>
      <c r="AI24" s="1853"/>
      <c r="AJ24" s="1853"/>
      <c r="AK24" s="1853"/>
      <c r="AL24" s="1853"/>
      <c r="AM24" s="1854"/>
      <c r="AN24" s="1852" cm="1">
        <f t="array" ref="AN24">SUMPRODUCT((Application!$B$714:$B$738 = 'CalHFA Addendum'!AN$18)*(Application!$AC$714:$AC$738 = 'CalHFA Addendum'!$B24),Application!$G$714:$G$738)</f>
        <v>0</v>
      </c>
      <c r="AO24" s="1853"/>
      <c r="AP24" s="1853"/>
      <c r="AQ24" s="1853"/>
      <c r="AR24" s="1853"/>
      <c r="AS24" s="1854"/>
      <c r="AT24" s="1855">
        <f t="shared" si="1"/>
        <v>0.1875</v>
      </c>
      <c r="AU24" s="1856"/>
      <c r="AV24" s="1856"/>
      <c r="AW24" s="1856"/>
      <c r="AX24" s="1856"/>
      <c r="AY24" s="1857"/>
      <c r="AZ24" s="968"/>
      <c r="BA24" s="968"/>
      <c r="BB24" s="968"/>
      <c r="BC24" s="968"/>
      <c r="BD24" s="968"/>
      <c r="BE24" s="971"/>
    </row>
    <row r="25" spans="1:58" ht="14.5">
      <c r="A25" s="968"/>
      <c r="B25" s="1849">
        <v>0.9</v>
      </c>
      <c r="C25" s="1850"/>
      <c r="D25" s="1850"/>
      <c r="E25" s="1850"/>
      <c r="F25" s="1850"/>
      <c r="G25" s="1850"/>
      <c r="H25" s="1850"/>
      <c r="I25" s="1851"/>
      <c r="J25" s="1858"/>
      <c r="K25" s="1859"/>
      <c r="L25" s="1859"/>
      <c r="M25" s="1859"/>
      <c r="N25" s="1859"/>
      <c r="O25" s="1860"/>
      <c r="P25" s="1858"/>
      <c r="Q25" s="1859"/>
      <c r="R25" s="1859"/>
      <c r="S25" s="1859"/>
      <c r="T25" s="1859"/>
      <c r="U25" s="1860"/>
      <c r="V25" s="1858"/>
      <c r="W25" s="1859"/>
      <c r="X25" s="1859"/>
      <c r="Y25" s="1859"/>
      <c r="Z25" s="1859"/>
      <c r="AA25" s="1860"/>
      <c r="AB25" s="1858"/>
      <c r="AC25" s="1859"/>
      <c r="AD25" s="1859"/>
      <c r="AE25" s="1859"/>
      <c r="AF25" s="1859"/>
      <c r="AG25" s="1860"/>
      <c r="AH25" s="1858"/>
      <c r="AI25" s="1859"/>
      <c r="AJ25" s="1859"/>
      <c r="AK25" s="1859"/>
      <c r="AL25" s="1859"/>
      <c r="AM25" s="1860"/>
      <c r="AN25" s="1858"/>
      <c r="AO25" s="1859"/>
      <c r="AP25" s="1859"/>
      <c r="AQ25" s="1859"/>
      <c r="AR25" s="1859"/>
      <c r="AS25" s="1860"/>
      <c r="AT25" s="1855">
        <f t="shared" si="1"/>
        <v>0</v>
      </c>
      <c r="AU25" s="1856"/>
      <c r="AV25" s="1856"/>
      <c r="AW25" s="1856"/>
      <c r="AX25" s="1856"/>
      <c r="AY25" s="1857"/>
      <c r="AZ25" s="968"/>
      <c r="BA25" s="968"/>
      <c r="BB25" s="968"/>
      <c r="BC25" s="968"/>
      <c r="BD25" s="968"/>
      <c r="BE25" s="971"/>
    </row>
    <row r="26" spans="1:58" ht="14.5">
      <c r="A26" s="968"/>
      <c r="B26" s="1849">
        <v>1</v>
      </c>
      <c r="C26" s="1850"/>
      <c r="D26" s="1850"/>
      <c r="E26" s="1850"/>
      <c r="F26" s="1850"/>
      <c r="G26" s="1850"/>
      <c r="H26" s="1850"/>
      <c r="I26" s="1851"/>
      <c r="J26" s="1858"/>
      <c r="K26" s="1859"/>
      <c r="L26" s="1859"/>
      <c r="M26" s="1859"/>
      <c r="N26" s="1859"/>
      <c r="O26" s="1860"/>
      <c r="P26" s="1858"/>
      <c r="Q26" s="1859"/>
      <c r="R26" s="1859"/>
      <c r="S26" s="1859"/>
      <c r="T26" s="1859"/>
      <c r="U26" s="1860"/>
      <c r="V26" s="1858"/>
      <c r="W26" s="1859"/>
      <c r="X26" s="1859"/>
      <c r="Y26" s="1859"/>
      <c r="Z26" s="1859"/>
      <c r="AA26" s="1860"/>
      <c r="AB26" s="1858"/>
      <c r="AC26" s="1859"/>
      <c r="AD26" s="1859"/>
      <c r="AE26" s="1859"/>
      <c r="AF26" s="1859"/>
      <c r="AG26" s="1860"/>
      <c r="AH26" s="1858"/>
      <c r="AI26" s="1859"/>
      <c r="AJ26" s="1859"/>
      <c r="AK26" s="1859"/>
      <c r="AL26" s="1859"/>
      <c r="AM26" s="1860"/>
      <c r="AN26" s="1858"/>
      <c r="AO26" s="1859"/>
      <c r="AP26" s="1859"/>
      <c r="AQ26" s="1859"/>
      <c r="AR26" s="1859"/>
      <c r="AS26" s="1860"/>
      <c r="AT26" s="1855">
        <f t="shared" si="1"/>
        <v>0</v>
      </c>
      <c r="AU26" s="1856"/>
      <c r="AV26" s="1856"/>
      <c r="AW26" s="1856"/>
      <c r="AX26" s="1856"/>
      <c r="AY26" s="1857"/>
      <c r="AZ26" s="968"/>
      <c r="BA26" s="968"/>
      <c r="BB26" s="968"/>
      <c r="BC26" s="968"/>
      <c r="BD26" s="968"/>
      <c r="BE26" s="971"/>
    </row>
    <row r="27" spans="1:58" ht="14.5">
      <c r="A27" s="968"/>
      <c r="B27" s="1849">
        <v>1.2</v>
      </c>
      <c r="C27" s="1850"/>
      <c r="D27" s="1850"/>
      <c r="E27" s="1850"/>
      <c r="F27" s="1850"/>
      <c r="G27" s="1850"/>
      <c r="H27" s="1850"/>
      <c r="I27" s="1851"/>
      <c r="J27" s="1858"/>
      <c r="K27" s="1859"/>
      <c r="L27" s="1859"/>
      <c r="M27" s="1859"/>
      <c r="N27" s="1859"/>
      <c r="O27" s="1860"/>
      <c r="P27" s="1858"/>
      <c r="Q27" s="1859"/>
      <c r="R27" s="1859"/>
      <c r="S27" s="1859"/>
      <c r="T27" s="1859"/>
      <c r="U27" s="1860"/>
      <c r="V27" s="1858"/>
      <c r="W27" s="1859"/>
      <c r="X27" s="1859"/>
      <c r="Y27" s="1859"/>
      <c r="Z27" s="1859"/>
      <c r="AA27" s="1860"/>
      <c r="AB27" s="1858"/>
      <c r="AC27" s="1859"/>
      <c r="AD27" s="1859"/>
      <c r="AE27" s="1859"/>
      <c r="AF27" s="1859"/>
      <c r="AG27" s="1860"/>
      <c r="AH27" s="1858"/>
      <c r="AI27" s="1859"/>
      <c r="AJ27" s="1859"/>
      <c r="AK27" s="1859"/>
      <c r="AL27" s="1859"/>
      <c r="AM27" s="1860"/>
      <c r="AN27" s="1858"/>
      <c r="AO27" s="1859"/>
      <c r="AP27" s="1859"/>
      <c r="AQ27" s="1859"/>
      <c r="AR27" s="1859"/>
      <c r="AS27" s="1860"/>
      <c r="AT27" s="1855">
        <f t="shared" si="1"/>
        <v>0</v>
      </c>
      <c r="AU27" s="1856"/>
      <c r="AV27" s="1856"/>
      <c r="AW27" s="1856"/>
      <c r="AX27" s="1856"/>
      <c r="AY27" s="1857"/>
      <c r="AZ27" s="968"/>
      <c r="BA27" s="968"/>
      <c r="BB27" s="968"/>
      <c r="BC27" s="968"/>
      <c r="BD27" s="968"/>
      <c r="BE27" s="971"/>
    </row>
    <row r="28" spans="1:58" ht="15" thickBot="1">
      <c r="A28" s="968"/>
      <c r="B28" s="1861" t="s">
        <v>1935</v>
      </c>
      <c r="C28" s="1862"/>
      <c r="D28" s="1862"/>
      <c r="E28" s="1862"/>
      <c r="F28" s="1862"/>
      <c r="G28" s="1862"/>
      <c r="H28" s="1862"/>
      <c r="I28" s="1863"/>
      <c r="J28" s="1864">
        <f>SUM(P28:AS28)</f>
        <v>1</v>
      </c>
      <c r="K28" s="1865"/>
      <c r="L28" s="1865"/>
      <c r="M28" s="1865"/>
      <c r="N28" s="1865"/>
      <c r="O28" s="1866"/>
      <c r="P28" s="1864">
        <f>_xlfn.IFNA(VLOOKUP(P$18,Application!$J$773:$S$776,6,FALSE), 0)</f>
        <v>0</v>
      </c>
      <c r="Q28" s="1865"/>
      <c r="R28" s="1865"/>
      <c r="S28" s="1865"/>
      <c r="T28" s="1865"/>
      <c r="U28" s="1866"/>
      <c r="V28" s="1864">
        <f>_xlfn.IFNA(VLOOKUP(V$18,Application!$J$773:$S$776,6,FALSE), 0)</f>
        <v>0</v>
      </c>
      <c r="W28" s="1865"/>
      <c r="X28" s="1865"/>
      <c r="Y28" s="1865"/>
      <c r="Z28" s="1865"/>
      <c r="AA28" s="1866"/>
      <c r="AB28" s="1864">
        <f>_xlfn.IFNA(VLOOKUP(AB$18,Application!$J$773:$S$776,6,FALSE), 0)</f>
        <v>1</v>
      </c>
      <c r="AC28" s="1865"/>
      <c r="AD28" s="1865"/>
      <c r="AE28" s="1865"/>
      <c r="AF28" s="1865"/>
      <c r="AG28" s="1866"/>
      <c r="AH28" s="1864">
        <f>_xlfn.IFNA(VLOOKUP(AH$18,Application!$J$773:$S$776,6,FALSE), 0)</f>
        <v>0</v>
      </c>
      <c r="AI28" s="1865"/>
      <c r="AJ28" s="1865"/>
      <c r="AK28" s="1865"/>
      <c r="AL28" s="1865"/>
      <c r="AM28" s="1866"/>
      <c r="AN28" s="1864">
        <f>_xlfn.IFNA(VLOOKUP(AN$18,Application!$J$773:$S$776,6,FALSE), 0)</f>
        <v>0</v>
      </c>
      <c r="AO28" s="1865"/>
      <c r="AP28" s="1865"/>
      <c r="AQ28" s="1865"/>
      <c r="AR28" s="1865"/>
      <c r="AS28" s="1866"/>
      <c r="AT28" s="1867">
        <f t="shared" si="1"/>
        <v>1.2500000000000001E-2</v>
      </c>
      <c r="AU28" s="1868"/>
      <c r="AV28" s="1868"/>
      <c r="AW28" s="1868"/>
      <c r="AX28" s="1868"/>
      <c r="AY28" s="1869"/>
      <c r="AZ28" s="968"/>
      <c r="BA28" s="968"/>
      <c r="BB28" s="968"/>
      <c r="BC28" s="968"/>
      <c r="BD28" s="968"/>
      <c r="BE28" s="971"/>
    </row>
    <row r="29" spans="1:58" ht="15" thickBot="1">
      <c r="A29" s="968"/>
      <c r="B29" s="1898" t="s">
        <v>1933</v>
      </c>
      <c r="C29" s="1871"/>
      <c r="D29" s="1871"/>
      <c r="E29" s="1871"/>
      <c r="F29" s="1871"/>
      <c r="G29" s="1871"/>
      <c r="H29" s="1871"/>
      <c r="I29" s="1872"/>
      <c r="J29" s="1870">
        <f>SUM(J19:O28)</f>
        <v>80</v>
      </c>
      <c r="K29" s="1871"/>
      <c r="L29" s="1871"/>
      <c r="M29" s="1871"/>
      <c r="N29" s="1871"/>
      <c r="O29" s="1872"/>
      <c r="P29" s="1870">
        <f>SUM(P19:U28)</f>
        <v>0</v>
      </c>
      <c r="Q29" s="1871"/>
      <c r="R29" s="1871"/>
      <c r="S29" s="1871"/>
      <c r="T29" s="1871"/>
      <c r="U29" s="1872"/>
      <c r="V29" s="1870">
        <f>SUM(V19:AA28)</f>
        <v>64</v>
      </c>
      <c r="W29" s="1871"/>
      <c r="X29" s="1871"/>
      <c r="Y29" s="1871"/>
      <c r="Z29" s="1871"/>
      <c r="AA29" s="1872"/>
      <c r="AB29" s="1870">
        <f>SUM(AB19:AG28)</f>
        <v>16</v>
      </c>
      <c r="AC29" s="1871"/>
      <c r="AD29" s="1871"/>
      <c r="AE29" s="1871"/>
      <c r="AF29" s="1871"/>
      <c r="AG29" s="1872"/>
      <c r="AH29" s="1870">
        <f>SUM(AH19:AM28)</f>
        <v>0</v>
      </c>
      <c r="AI29" s="1871"/>
      <c r="AJ29" s="1871"/>
      <c r="AK29" s="1871"/>
      <c r="AL29" s="1871"/>
      <c r="AM29" s="1872"/>
      <c r="AN29" s="1870">
        <f>SUM(AN19:AS28)</f>
        <v>0</v>
      </c>
      <c r="AO29" s="1871"/>
      <c r="AP29" s="1871"/>
      <c r="AQ29" s="1871"/>
      <c r="AR29" s="1871"/>
      <c r="AS29" s="1872"/>
      <c r="AT29" s="1873">
        <f t="shared" si="1"/>
        <v>1</v>
      </c>
      <c r="AU29" s="1874"/>
      <c r="AV29" s="1874"/>
      <c r="AW29" s="1874"/>
      <c r="AX29" s="1874"/>
      <c r="AY29" s="1875"/>
      <c r="AZ29" s="968"/>
      <c r="BA29" s="968"/>
      <c r="BB29" s="968"/>
      <c r="BC29" s="968"/>
      <c r="BD29" s="968"/>
      <c r="BE29" s="971"/>
    </row>
    <row r="30" spans="1:58" ht="15" thickBo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c r="AS30" s="968"/>
      <c r="AT30" s="968"/>
      <c r="AU30" s="968"/>
      <c r="AV30" s="968"/>
      <c r="AW30" s="968"/>
      <c r="AX30" s="968"/>
      <c r="AY30" s="968"/>
      <c r="AZ30" s="968"/>
      <c r="BA30" s="968"/>
      <c r="BB30" s="968"/>
      <c r="BC30" s="968"/>
      <c r="BD30" s="968"/>
      <c r="BE30" s="971"/>
    </row>
    <row r="31" spans="1:58" ht="15" thickBot="1">
      <c r="A31" s="968"/>
      <c r="B31" s="1876" t="s">
        <v>1936</v>
      </c>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7"/>
      <c r="AI31" s="1877"/>
      <c r="AJ31" s="1877"/>
      <c r="AK31" s="1877"/>
      <c r="AL31" s="1877"/>
      <c r="AM31" s="1877"/>
      <c r="AN31" s="1877"/>
      <c r="AO31" s="1877"/>
      <c r="AP31" s="1877"/>
      <c r="AQ31" s="1877"/>
      <c r="AR31" s="1877"/>
      <c r="AS31" s="1877"/>
      <c r="AT31" s="1877"/>
      <c r="AU31" s="1877"/>
      <c r="AV31" s="1877"/>
      <c r="AW31" s="1877"/>
      <c r="AX31" s="1877"/>
      <c r="AY31" s="1877"/>
      <c r="AZ31" s="1877"/>
      <c r="BA31" s="1877"/>
      <c r="BB31" s="1877"/>
      <c r="BC31" s="1877"/>
      <c r="BD31" s="1878"/>
      <c r="BE31" s="971"/>
    </row>
    <row r="32" spans="1:58" ht="15" thickBot="1">
      <c r="A32" s="968"/>
      <c r="B32" s="1879" t="s">
        <v>1937</v>
      </c>
      <c r="C32" s="1880"/>
      <c r="D32" s="1880"/>
      <c r="E32" s="1880"/>
      <c r="F32" s="1880"/>
      <c r="G32" s="1880"/>
      <c r="H32" s="1880"/>
      <c r="I32" s="1880"/>
      <c r="J32" s="1883" t="s">
        <v>1938</v>
      </c>
      <c r="K32" s="1884"/>
      <c r="L32" s="1884"/>
      <c r="M32" s="1884"/>
      <c r="N32" s="1883" t="s">
        <v>1939</v>
      </c>
      <c r="O32" s="1884"/>
      <c r="P32" s="1884"/>
      <c r="Q32" s="1886"/>
      <c r="R32" s="1888" t="s">
        <v>1940</v>
      </c>
      <c r="S32" s="1889"/>
      <c r="T32" s="1889"/>
      <c r="U32" s="1889"/>
      <c r="V32" s="1889"/>
      <c r="W32" s="1889"/>
      <c r="X32" s="1889"/>
      <c r="Y32" s="1889"/>
      <c r="Z32" s="1889"/>
      <c r="AA32" s="1889"/>
      <c r="AB32" s="1889"/>
      <c r="AC32" s="1889"/>
      <c r="AD32" s="1889"/>
      <c r="AE32" s="1889"/>
      <c r="AF32" s="1889"/>
      <c r="AG32" s="1889"/>
      <c r="AH32" s="1889"/>
      <c r="AI32" s="1889"/>
      <c r="AJ32" s="1889"/>
      <c r="AK32" s="1889"/>
      <c r="AL32" s="1889"/>
      <c r="AM32" s="1889"/>
      <c r="AN32" s="1889"/>
      <c r="AO32" s="1889"/>
      <c r="AP32" s="1889"/>
      <c r="AQ32" s="1889"/>
      <c r="AR32" s="1889"/>
      <c r="AS32" s="1889"/>
      <c r="AT32" s="1889"/>
      <c r="AU32" s="1889"/>
      <c r="AV32" s="1889"/>
      <c r="AW32" s="1889"/>
      <c r="AX32" s="1889"/>
      <c r="AY32" s="1889"/>
      <c r="AZ32" s="1889"/>
      <c r="BA32" s="1889"/>
      <c r="BB32" s="1889"/>
      <c r="BC32" s="1889"/>
      <c r="BD32" s="1890"/>
      <c r="BE32" s="971"/>
    </row>
    <row r="33" spans="1:58" ht="15" customHeight="1">
      <c r="A33" s="968"/>
      <c r="B33" s="1881"/>
      <c r="C33" s="1882"/>
      <c r="D33" s="1882"/>
      <c r="E33" s="1882"/>
      <c r="F33" s="1882"/>
      <c r="G33" s="1882"/>
      <c r="H33" s="1882"/>
      <c r="I33" s="1882"/>
      <c r="J33" s="1885"/>
      <c r="K33" s="1885"/>
      <c r="L33" s="1885"/>
      <c r="M33" s="1885"/>
      <c r="N33" s="1885"/>
      <c r="O33" s="1885"/>
      <c r="P33" s="1885"/>
      <c r="Q33" s="1887"/>
      <c r="R33" s="1891" t="s">
        <v>1941</v>
      </c>
      <c r="S33" s="1892"/>
      <c r="T33" s="1892"/>
      <c r="U33" s="1892"/>
      <c r="V33" s="1892"/>
      <c r="W33" s="1892"/>
      <c r="X33" s="1892"/>
      <c r="Y33" s="1892"/>
      <c r="Z33" s="1892"/>
      <c r="AA33" s="1892"/>
      <c r="AB33" s="1892"/>
      <c r="AC33" s="1892"/>
      <c r="AD33" s="1892"/>
      <c r="AE33" s="1892"/>
      <c r="AF33" s="1892"/>
      <c r="AG33" s="1892"/>
      <c r="AH33" s="1892"/>
      <c r="AI33" s="1892"/>
      <c r="AJ33" s="1892"/>
      <c r="AK33" s="1892"/>
      <c r="AL33" s="1892"/>
      <c r="AM33" s="1892"/>
      <c r="AN33" s="1892"/>
      <c r="AO33" s="1892"/>
      <c r="AP33" s="1892"/>
      <c r="AQ33" s="1892"/>
      <c r="AR33" s="1892"/>
      <c r="AS33" s="1892"/>
      <c r="AT33" s="1892"/>
      <c r="AU33" s="1892"/>
      <c r="AV33" s="1892"/>
      <c r="AW33" s="1892"/>
      <c r="AX33" s="1892"/>
      <c r="AY33" s="1892"/>
      <c r="AZ33" s="1892"/>
      <c r="BA33" s="1892"/>
      <c r="BB33" s="1892"/>
      <c r="BC33" s="1892"/>
      <c r="BD33" s="1893"/>
      <c r="BE33" s="971"/>
    </row>
    <row r="34" spans="1:58" ht="15.75" customHeight="1" thickBot="1">
      <c r="A34" s="968"/>
      <c r="B34" s="1881"/>
      <c r="C34" s="1882"/>
      <c r="D34" s="1882"/>
      <c r="E34" s="1882"/>
      <c r="F34" s="1882"/>
      <c r="G34" s="1882"/>
      <c r="H34" s="1882"/>
      <c r="I34" s="1882"/>
      <c r="J34" s="1885"/>
      <c r="K34" s="1885"/>
      <c r="L34" s="1885"/>
      <c r="M34" s="1885"/>
      <c r="N34" s="1885"/>
      <c r="O34" s="1885"/>
      <c r="P34" s="1885"/>
      <c r="Q34" s="1887"/>
      <c r="R34" s="1894"/>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95"/>
      <c r="AO34" s="1895"/>
      <c r="AP34" s="1895"/>
      <c r="AQ34" s="1895"/>
      <c r="AR34" s="1895"/>
      <c r="AS34" s="1895"/>
      <c r="AT34" s="1895"/>
      <c r="AU34" s="1895"/>
      <c r="AV34" s="1895"/>
      <c r="AW34" s="1895"/>
      <c r="AX34" s="1895"/>
      <c r="AY34" s="1895"/>
      <c r="AZ34" s="1895"/>
      <c r="BA34" s="1895"/>
      <c r="BB34" s="1895"/>
      <c r="BC34" s="1895"/>
      <c r="BD34" s="1896"/>
      <c r="BE34" s="971"/>
    </row>
    <row r="35" spans="1:58" ht="15.75" customHeight="1">
      <c r="A35" s="968"/>
      <c r="B35" s="1881"/>
      <c r="C35" s="1882"/>
      <c r="D35" s="1882"/>
      <c r="E35" s="1882"/>
      <c r="F35" s="1882"/>
      <c r="G35" s="1882"/>
      <c r="H35" s="1882"/>
      <c r="I35" s="1882"/>
      <c r="J35" s="1885"/>
      <c r="K35" s="1885"/>
      <c r="L35" s="1885"/>
      <c r="M35" s="1885"/>
      <c r="N35" s="1885"/>
      <c r="O35" s="1885"/>
      <c r="P35" s="1885"/>
      <c r="Q35" s="1885"/>
      <c r="R35" s="1897">
        <v>0.3</v>
      </c>
      <c r="S35" s="1897"/>
      <c r="T35" s="1897"/>
      <c r="U35" s="1897"/>
      <c r="V35" s="1897">
        <v>0.4</v>
      </c>
      <c r="W35" s="1897"/>
      <c r="X35" s="1897"/>
      <c r="Y35" s="1897"/>
      <c r="Z35" s="1897">
        <v>0.5</v>
      </c>
      <c r="AA35" s="1897"/>
      <c r="AB35" s="1897"/>
      <c r="AC35" s="1897"/>
      <c r="AD35" s="1897">
        <v>0.6</v>
      </c>
      <c r="AE35" s="1897"/>
      <c r="AF35" s="1897"/>
      <c r="AG35" s="1897"/>
      <c r="AH35" s="1897">
        <v>0.7</v>
      </c>
      <c r="AI35" s="1897"/>
      <c r="AJ35" s="1897"/>
      <c r="AK35" s="1897"/>
      <c r="AL35" s="1902">
        <v>0.8</v>
      </c>
      <c r="AM35" s="1903"/>
      <c r="AN35" s="1903"/>
      <c r="AO35" s="1904"/>
      <c r="AP35" s="1905">
        <v>1.2</v>
      </c>
      <c r="AQ35" s="1906"/>
      <c r="AR35" s="1907"/>
      <c r="AS35" s="1899" t="s">
        <v>1942</v>
      </c>
      <c r="AT35" s="1900"/>
      <c r="AU35" s="1900"/>
      <c r="AV35" s="1900"/>
      <c r="AW35" s="1900"/>
      <c r="AX35" s="1908"/>
      <c r="AY35" s="1899" t="s">
        <v>1943</v>
      </c>
      <c r="AZ35" s="1900"/>
      <c r="BA35" s="1900"/>
      <c r="BB35" s="1900"/>
      <c r="BC35" s="1900"/>
      <c r="BD35" s="1901"/>
      <c r="BE35" s="971"/>
    </row>
    <row r="36" spans="1:58" ht="15.75" customHeight="1">
      <c r="A36" s="968"/>
      <c r="B36" s="1918" t="s">
        <v>1944</v>
      </c>
      <c r="C36" s="1919"/>
      <c r="D36" s="1919"/>
      <c r="E36" s="1919"/>
      <c r="F36" s="1919"/>
      <c r="G36" s="1919"/>
      <c r="H36" s="1919"/>
      <c r="I36" s="1919"/>
      <c r="J36" s="1920" t="s">
        <v>1945</v>
      </c>
      <c r="K36" s="1920"/>
      <c r="L36" s="1920"/>
      <c r="M36" s="1920"/>
      <c r="N36" s="1920">
        <v>55</v>
      </c>
      <c r="O36" s="1920"/>
      <c r="P36" s="1920"/>
      <c r="Q36" s="1920"/>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09"/>
      <c r="AM36" s="1910"/>
      <c r="AN36" s="1910"/>
      <c r="AO36" s="1911"/>
      <c r="AP36" s="1909"/>
      <c r="AQ36" s="1910"/>
      <c r="AR36" s="1911"/>
      <c r="AS36" s="1912">
        <f t="shared" ref="AS36:AS47" si="2">SUM(R36:AR36)</f>
        <v>0</v>
      </c>
      <c r="AT36" s="1913"/>
      <c r="AU36" s="1913"/>
      <c r="AV36" s="1913"/>
      <c r="AW36" s="1913"/>
      <c r="AX36" s="1914"/>
      <c r="AY36" s="1915">
        <f t="shared" ref="AY36:AY47" si="3">AS36/$J$29</f>
        <v>0</v>
      </c>
      <c r="AZ36" s="1916"/>
      <c r="BA36" s="1916"/>
      <c r="BB36" s="1916"/>
      <c r="BC36" s="1916"/>
      <c r="BD36" s="1917"/>
      <c r="BE36" s="971"/>
    </row>
    <row r="37" spans="1:58" ht="15.75" customHeight="1">
      <c r="A37" s="968"/>
      <c r="B37" s="1918" t="s">
        <v>1946</v>
      </c>
      <c r="C37" s="1919"/>
      <c r="D37" s="1919"/>
      <c r="E37" s="1919"/>
      <c r="F37" s="1919"/>
      <c r="G37" s="1919"/>
      <c r="H37" s="1919"/>
      <c r="I37" s="1919"/>
      <c r="J37" s="1920" t="s">
        <v>1947</v>
      </c>
      <c r="K37" s="1920"/>
      <c r="L37" s="1920"/>
      <c r="M37" s="1920"/>
      <c r="N37" s="1920">
        <v>55</v>
      </c>
      <c r="O37" s="1920"/>
      <c r="P37" s="1920"/>
      <c r="Q37" s="1920"/>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09"/>
      <c r="AM37" s="1910"/>
      <c r="AN37" s="1910"/>
      <c r="AO37" s="1911"/>
      <c r="AP37" s="1909"/>
      <c r="AQ37" s="1910"/>
      <c r="AR37" s="1911"/>
      <c r="AS37" s="1912">
        <f t="shared" si="2"/>
        <v>0</v>
      </c>
      <c r="AT37" s="1913"/>
      <c r="AU37" s="1913"/>
      <c r="AV37" s="1913"/>
      <c r="AW37" s="1913"/>
      <c r="AX37" s="1914"/>
      <c r="AY37" s="1915">
        <f t="shared" si="3"/>
        <v>0</v>
      </c>
      <c r="AZ37" s="1916"/>
      <c r="BA37" s="1916"/>
      <c r="BB37" s="1916"/>
      <c r="BC37" s="1916"/>
      <c r="BD37" s="1917"/>
      <c r="BE37" s="971"/>
    </row>
    <row r="38" spans="1:58" ht="15.75" customHeight="1">
      <c r="A38" s="968"/>
      <c r="B38" s="1918" t="s">
        <v>1948</v>
      </c>
      <c r="C38" s="1919"/>
      <c r="D38" s="1919"/>
      <c r="E38" s="1919"/>
      <c r="F38" s="1919"/>
      <c r="G38" s="1919"/>
      <c r="H38" s="1919"/>
      <c r="I38" s="1919"/>
      <c r="J38" s="1920" t="s">
        <v>1949</v>
      </c>
      <c r="K38" s="1920"/>
      <c r="L38" s="1920"/>
      <c r="M38" s="1920"/>
      <c r="N38" s="1920">
        <v>55</v>
      </c>
      <c r="O38" s="1920"/>
      <c r="P38" s="1920"/>
      <c r="Q38" s="1920"/>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09"/>
      <c r="AM38" s="1910"/>
      <c r="AN38" s="1910"/>
      <c r="AO38" s="1911"/>
      <c r="AP38" s="1909"/>
      <c r="AQ38" s="1910"/>
      <c r="AR38" s="1911"/>
      <c r="AS38" s="1912">
        <f t="shared" si="2"/>
        <v>0</v>
      </c>
      <c r="AT38" s="1913"/>
      <c r="AU38" s="1913"/>
      <c r="AV38" s="1913"/>
      <c r="AW38" s="1913"/>
      <c r="AX38" s="1914"/>
      <c r="AY38" s="1915">
        <f t="shared" si="3"/>
        <v>0</v>
      </c>
      <c r="AZ38" s="1916"/>
      <c r="BA38" s="1916"/>
      <c r="BB38" s="1916"/>
      <c r="BC38" s="1916"/>
      <c r="BD38" s="1917"/>
      <c r="BE38" s="971"/>
    </row>
    <row r="39" spans="1:58" ht="15.75" customHeight="1">
      <c r="A39" s="968"/>
      <c r="B39" s="1918" t="s">
        <v>1950</v>
      </c>
      <c r="C39" s="1919"/>
      <c r="D39" s="1919"/>
      <c r="E39" s="1919"/>
      <c r="F39" s="1919"/>
      <c r="G39" s="1919"/>
      <c r="H39" s="1919"/>
      <c r="I39" s="1919"/>
      <c r="J39" s="1920"/>
      <c r="K39" s="1920"/>
      <c r="L39" s="1920"/>
      <c r="M39" s="1920"/>
      <c r="N39" s="1920"/>
      <c r="O39" s="1920"/>
      <c r="P39" s="1920"/>
      <c r="Q39" s="1920"/>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09"/>
      <c r="AM39" s="1910"/>
      <c r="AN39" s="1910"/>
      <c r="AO39" s="1911"/>
      <c r="AP39" s="1909"/>
      <c r="AQ39" s="1910"/>
      <c r="AR39" s="1911"/>
      <c r="AS39" s="1912">
        <f t="shared" si="2"/>
        <v>0</v>
      </c>
      <c r="AT39" s="1913"/>
      <c r="AU39" s="1913"/>
      <c r="AV39" s="1913"/>
      <c r="AW39" s="1913"/>
      <c r="AX39" s="1914"/>
      <c r="AY39" s="1915">
        <f t="shared" si="3"/>
        <v>0</v>
      </c>
      <c r="AZ39" s="1916"/>
      <c r="BA39" s="1916"/>
      <c r="BB39" s="1916"/>
      <c r="BC39" s="1916"/>
      <c r="BD39" s="1917"/>
      <c r="BE39" s="971"/>
    </row>
    <row r="40" spans="1:58" ht="15.75" customHeight="1">
      <c r="A40" s="968"/>
      <c r="B40" s="1918" t="s">
        <v>1950</v>
      </c>
      <c r="C40" s="1919"/>
      <c r="D40" s="1919"/>
      <c r="E40" s="1919"/>
      <c r="F40" s="1919"/>
      <c r="G40" s="1919"/>
      <c r="H40" s="1919"/>
      <c r="I40" s="1919"/>
      <c r="J40" s="1920"/>
      <c r="K40" s="1920"/>
      <c r="L40" s="1920"/>
      <c r="M40" s="1920"/>
      <c r="N40" s="1920"/>
      <c r="O40" s="1920"/>
      <c r="P40" s="1920"/>
      <c r="Q40" s="1920"/>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09"/>
      <c r="AM40" s="1910"/>
      <c r="AN40" s="1910"/>
      <c r="AO40" s="1911"/>
      <c r="AP40" s="1909"/>
      <c r="AQ40" s="1910"/>
      <c r="AR40" s="1911"/>
      <c r="AS40" s="1912">
        <f t="shared" si="2"/>
        <v>0</v>
      </c>
      <c r="AT40" s="1913"/>
      <c r="AU40" s="1913"/>
      <c r="AV40" s="1913"/>
      <c r="AW40" s="1913"/>
      <c r="AX40" s="1914"/>
      <c r="AY40" s="1915">
        <f t="shared" si="3"/>
        <v>0</v>
      </c>
      <c r="AZ40" s="1916"/>
      <c r="BA40" s="1916"/>
      <c r="BB40" s="1916"/>
      <c r="BC40" s="1916"/>
      <c r="BD40" s="1917"/>
      <c r="BE40" s="971"/>
    </row>
    <row r="41" spans="1:58" ht="15.75" customHeight="1">
      <c r="A41" s="968"/>
      <c r="B41" s="1918" t="s">
        <v>1951</v>
      </c>
      <c r="C41" s="1919"/>
      <c r="D41" s="1919"/>
      <c r="E41" s="1919"/>
      <c r="F41" s="1919"/>
      <c r="G41" s="1919"/>
      <c r="H41" s="1919"/>
      <c r="I41" s="1919"/>
      <c r="J41" s="1920"/>
      <c r="K41" s="1920"/>
      <c r="L41" s="1920"/>
      <c r="M41" s="1920"/>
      <c r="N41" s="1920"/>
      <c r="O41" s="1920"/>
      <c r="P41" s="1920"/>
      <c r="Q41" s="1920"/>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09"/>
      <c r="AM41" s="1910"/>
      <c r="AN41" s="1910"/>
      <c r="AO41" s="1911"/>
      <c r="AP41" s="1909"/>
      <c r="AQ41" s="1910"/>
      <c r="AR41" s="1911"/>
      <c r="AS41" s="1912">
        <f t="shared" si="2"/>
        <v>0</v>
      </c>
      <c r="AT41" s="1913"/>
      <c r="AU41" s="1913"/>
      <c r="AV41" s="1913"/>
      <c r="AW41" s="1913"/>
      <c r="AX41" s="1914"/>
      <c r="AY41" s="1915">
        <f t="shared" si="3"/>
        <v>0</v>
      </c>
      <c r="AZ41" s="1916"/>
      <c r="BA41" s="1916"/>
      <c r="BB41" s="1916"/>
      <c r="BC41" s="1916"/>
      <c r="BD41" s="1917"/>
      <c r="BE41" s="971"/>
    </row>
    <row r="42" spans="1:58" ht="15.75" customHeight="1">
      <c r="A42" s="968"/>
      <c r="B42" s="1918" t="s">
        <v>1951</v>
      </c>
      <c r="C42" s="1919"/>
      <c r="D42" s="1919"/>
      <c r="E42" s="1919"/>
      <c r="F42" s="1919"/>
      <c r="G42" s="1919"/>
      <c r="H42" s="1919"/>
      <c r="I42" s="1919"/>
      <c r="J42" s="1920"/>
      <c r="K42" s="1920"/>
      <c r="L42" s="1920"/>
      <c r="M42" s="1920"/>
      <c r="N42" s="1920"/>
      <c r="O42" s="1920"/>
      <c r="P42" s="1920"/>
      <c r="Q42" s="1920"/>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09"/>
      <c r="AM42" s="1910"/>
      <c r="AN42" s="1910"/>
      <c r="AO42" s="1911"/>
      <c r="AP42" s="1909"/>
      <c r="AQ42" s="1910"/>
      <c r="AR42" s="1911"/>
      <c r="AS42" s="1912">
        <f t="shared" si="2"/>
        <v>0</v>
      </c>
      <c r="AT42" s="1913"/>
      <c r="AU42" s="1913"/>
      <c r="AV42" s="1913"/>
      <c r="AW42" s="1913"/>
      <c r="AX42" s="1914"/>
      <c r="AY42" s="1915">
        <f t="shared" si="3"/>
        <v>0</v>
      </c>
      <c r="AZ42" s="1916"/>
      <c r="BA42" s="1916"/>
      <c r="BB42" s="1916"/>
      <c r="BC42" s="1916"/>
      <c r="BD42" s="1917"/>
      <c r="BE42" s="971"/>
    </row>
    <row r="43" spans="1:58" ht="15.75" customHeight="1">
      <c r="A43" s="968"/>
      <c r="B43" s="1922" t="s">
        <v>1952</v>
      </c>
      <c r="C43" s="1923"/>
      <c r="D43" s="1923"/>
      <c r="E43" s="1923"/>
      <c r="F43" s="1923"/>
      <c r="G43" s="1923"/>
      <c r="H43" s="1923"/>
      <c r="I43" s="1923"/>
      <c r="J43" s="1920"/>
      <c r="K43" s="1920"/>
      <c r="L43" s="1920"/>
      <c r="M43" s="1920"/>
      <c r="N43" s="1920"/>
      <c r="O43" s="1920"/>
      <c r="P43" s="1920"/>
      <c r="Q43" s="1920"/>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09"/>
      <c r="AM43" s="1910"/>
      <c r="AN43" s="1910"/>
      <c r="AO43" s="1911"/>
      <c r="AP43" s="1909"/>
      <c r="AQ43" s="1910"/>
      <c r="AR43" s="1911"/>
      <c r="AS43" s="1912">
        <f t="shared" si="2"/>
        <v>0</v>
      </c>
      <c r="AT43" s="1913"/>
      <c r="AU43" s="1913"/>
      <c r="AV43" s="1913"/>
      <c r="AW43" s="1913"/>
      <c r="AX43" s="1914"/>
      <c r="AY43" s="1915">
        <f t="shared" si="3"/>
        <v>0</v>
      </c>
      <c r="AZ43" s="1916"/>
      <c r="BA43" s="1916"/>
      <c r="BB43" s="1916"/>
      <c r="BC43" s="1916"/>
      <c r="BD43" s="1917"/>
      <c r="BE43" s="971"/>
    </row>
    <row r="44" spans="1:58" ht="15.75" customHeight="1">
      <c r="A44" s="968"/>
      <c r="B44" s="1922" t="s">
        <v>1953</v>
      </c>
      <c r="C44" s="1923"/>
      <c r="D44" s="1923"/>
      <c r="E44" s="1923"/>
      <c r="F44" s="1923"/>
      <c r="G44" s="1923"/>
      <c r="H44" s="1923"/>
      <c r="I44" s="1923"/>
      <c r="J44" s="1920"/>
      <c r="K44" s="1920"/>
      <c r="L44" s="1920"/>
      <c r="M44" s="1920"/>
      <c r="N44" s="1920"/>
      <c r="O44" s="1920"/>
      <c r="P44" s="1920"/>
      <c r="Q44" s="1920"/>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09"/>
      <c r="AM44" s="1910"/>
      <c r="AN44" s="1910"/>
      <c r="AO44" s="1911"/>
      <c r="AP44" s="1909"/>
      <c r="AQ44" s="1910"/>
      <c r="AR44" s="1911"/>
      <c r="AS44" s="1912">
        <f t="shared" si="2"/>
        <v>0</v>
      </c>
      <c r="AT44" s="1913"/>
      <c r="AU44" s="1913"/>
      <c r="AV44" s="1913"/>
      <c r="AW44" s="1913"/>
      <c r="AX44" s="1914"/>
      <c r="AY44" s="1915">
        <f t="shared" si="3"/>
        <v>0</v>
      </c>
      <c r="AZ44" s="1916"/>
      <c r="BA44" s="1916"/>
      <c r="BB44" s="1916"/>
      <c r="BC44" s="1916"/>
      <c r="BD44" s="1917"/>
      <c r="BE44" s="971"/>
    </row>
    <row r="45" spans="1:58" ht="15.75" customHeight="1">
      <c r="A45" s="968"/>
      <c r="B45" s="1922" t="s">
        <v>1954</v>
      </c>
      <c r="C45" s="1923"/>
      <c r="D45" s="1923"/>
      <c r="E45" s="1923"/>
      <c r="F45" s="1923"/>
      <c r="G45" s="1923"/>
      <c r="H45" s="1923"/>
      <c r="I45" s="1923"/>
      <c r="J45" s="1920"/>
      <c r="K45" s="1920"/>
      <c r="L45" s="1920"/>
      <c r="M45" s="1920"/>
      <c r="N45" s="1920"/>
      <c r="O45" s="1920"/>
      <c r="P45" s="1920"/>
      <c r="Q45" s="1920"/>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09"/>
      <c r="AM45" s="1910"/>
      <c r="AN45" s="1910"/>
      <c r="AO45" s="1911"/>
      <c r="AP45" s="1909"/>
      <c r="AQ45" s="1910"/>
      <c r="AR45" s="1911"/>
      <c r="AS45" s="1912">
        <f t="shared" si="2"/>
        <v>0</v>
      </c>
      <c r="AT45" s="1913"/>
      <c r="AU45" s="1913"/>
      <c r="AV45" s="1913"/>
      <c r="AW45" s="1913"/>
      <c r="AX45" s="1914"/>
      <c r="AY45" s="1915">
        <f t="shared" si="3"/>
        <v>0</v>
      </c>
      <c r="AZ45" s="1916"/>
      <c r="BA45" s="1916"/>
      <c r="BB45" s="1916"/>
      <c r="BC45" s="1916"/>
      <c r="BD45" s="1917"/>
      <c r="BE45" s="971"/>
    </row>
    <row r="46" spans="1:58" ht="15.75" customHeight="1">
      <c r="A46" s="968"/>
      <c r="B46" s="1922" t="s">
        <v>1955</v>
      </c>
      <c r="C46" s="1923"/>
      <c r="D46" s="1923"/>
      <c r="E46" s="1923"/>
      <c r="F46" s="1923"/>
      <c r="G46" s="1923"/>
      <c r="H46" s="1923"/>
      <c r="I46" s="1923"/>
      <c r="J46" s="1920"/>
      <c r="K46" s="1920"/>
      <c r="L46" s="1920"/>
      <c r="M46" s="1920"/>
      <c r="N46" s="1920">
        <v>99</v>
      </c>
      <c r="O46" s="1920"/>
      <c r="P46" s="1920"/>
      <c r="Q46" s="1920"/>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09"/>
      <c r="AM46" s="1910"/>
      <c r="AN46" s="1910"/>
      <c r="AO46" s="1911"/>
      <c r="AP46" s="1909"/>
      <c r="AQ46" s="1910"/>
      <c r="AR46" s="1911"/>
      <c r="AS46" s="1912">
        <f t="shared" si="2"/>
        <v>0</v>
      </c>
      <c r="AT46" s="1913"/>
      <c r="AU46" s="1913"/>
      <c r="AV46" s="1913"/>
      <c r="AW46" s="1913"/>
      <c r="AX46" s="1914"/>
      <c r="AY46" s="1915">
        <f t="shared" si="3"/>
        <v>0</v>
      </c>
      <c r="AZ46" s="1916"/>
      <c r="BA46" s="1916"/>
      <c r="BB46" s="1916"/>
      <c r="BC46" s="1916"/>
      <c r="BD46" s="1917"/>
      <c r="BE46" s="971"/>
    </row>
    <row r="47" spans="1:58" ht="15.75" customHeight="1" thickBot="1">
      <c r="A47" s="968"/>
      <c r="B47" s="1924" t="s">
        <v>1054</v>
      </c>
      <c r="C47" s="1925"/>
      <c r="D47" s="1925"/>
      <c r="E47" s="1925"/>
      <c r="F47" s="1925"/>
      <c r="G47" s="1925"/>
      <c r="H47" s="1925"/>
      <c r="I47" s="1925"/>
      <c r="J47" s="1926"/>
      <c r="K47" s="1926"/>
      <c r="L47" s="1926"/>
      <c r="M47" s="1926"/>
      <c r="N47" s="1926"/>
      <c r="O47" s="1926"/>
      <c r="P47" s="1926"/>
      <c r="Q47" s="1926"/>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31"/>
      <c r="AM47" s="1932"/>
      <c r="AN47" s="1932"/>
      <c r="AO47" s="1933"/>
      <c r="AP47" s="1931"/>
      <c r="AQ47" s="1932"/>
      <c r="AR47" s="1933"/>
      <c r="AS47" s="1912">
        <f t="shared" si="2"/>
        <v>0</v>
      </c>
      <c r="AT47" s="1913"/>
      <c r="AU47" s="1913"/>
      <c r="AV47" s="1913"/>
      <c r="AW47" s="1913"/>
      <c r="AX47" s="1914"/>
      <c r="AY47" s="1928">
        <f t="shared" si="3"/>
        <v>0</v>
      </c>
      <c r="AZ47" s="1929"/>
      <c r="BA47" s="1929"/>
      <c r="BB47" s="1929"/>
      <c r="BC47" s="1929"/>
      <c r="BD47" s="1930"/>
      <c r="BE47" s="971"/>
    </row>
    <row r="48" spans="1:58" ht="15.75" customHeight="1">
      <c r="A48" s="968"/>
      <c r="B48" s="973" t="s">
        <v>1956</v>
      </c>
      <c r="C48" s="968"/>
      <c r="D48" s="968"/>
      <c r="E48" s="968"/>
      <c r="F48" s="968"/>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968"/>
      <c r="BD48" s="968"/>
      <c r="BE48" s="971"/>
      <c r="BF48" s="966"/>
    </row>
    <row r="49" spans="1:58" ht="15.75" customHeight="1" thickBot="1">
      <c r="A49" s="968"/>
      <c r="B49" s="973" t="s">
        <v>1957</v>
      </c>
      <c r="C49" s="968"/>
      <c r="D49" s="968"/>
      <c r="E49" s="968"/>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9"/>
      <c r="AQ49" s="969"/>
      <c r="AR49" s="969"/>
      <c r="AS49" s="969"/>
      <c r="AT49" s="969"/>
      <c r="AU49" s="969"/>
      <c r="AV49" s="969"/>
      <c r="AW49" s="969"/>
      <c r="AX49" s="968"/>
      <c r="AY49" s="968"/>
      <c r="AZ49" s="968"/>
      <c r="BA49" s="968"/>
      <c r="BB49" s="968"/>
      <c r="BC49" s="968"/>
      <c r="BD49" s="968"/>
      <c r="BE49" s="971"/>
      <c r="BF49" s="966"/>
    </row>
    <row r="50" spans="1:58" ht="15.75" customHeight="1">
      <c r="A50" s="968"/>
      <c r="B50" s="1934" t="s">
        <v>1958</v>
      </c>
      <c r="C50" s="1935"/>
      <c r="D50" s="1935"/>
      <c r="E50" s="1935"/>
      <c r="F50" s="1935"/>
      <c r="G50" s="1935"/>
      <c r="H50" s="1935"/>
      <c r="I50" s="1935"/>
      <c r="J50" s="1935"/>
      <c r="K50" s="1935"/>
      <c r="L50" s="1935"/>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1936"/>
      <c r="AP50" s="969"/>
      <c r="AQ50" s="969"/>
      <c r="AR50" s="969"/>
      <c r="AS50" s="969"/>
      <c r="AT50" s="969"/>
      <c r="AU50" s="969"/>
      <c r="AV50" s="969"/>
      <c r="AW50" s="969"/>
      <c r="AX50" s="968"/>
      <c r="AY50" s="968"/>
      <c r="AZ50" s="968"/>
      <c r="BA50" s="968"/>
      <c r="BB50" s="968"/>
      <c r="BC50" s="968"/>
      <c r="BD50" s="968"/>
      <c r="BE50" s="971"/>
    </row>
    <row r="51" spans="1:58" ht="33.75" customHeight="1">
      <c r="A51" s="968"/>
      <c r="B51" s="1937" t="s">
        <v>1959</v>
      </c>
      <c r="C51" s="1938"/>
      <c r="D51" s="1938"/>
      <c r="E51" s="1938"/>
      <c r="F51" s="1938"/>
      <c r="G51" s="1938"/>
      <c r="H51" s="1938"/>
      <c r="I51" s="1938"/>
      <c r="J51" s="1938" t="s">
        <v>1960</v>
      </c>
      <c r="K51" s="1938"/>
      <c r="L51" s="1938"/>
      <c r="M51" s="1938"/>
      <c r="N51" s="1938"/>
      <c r="O51" s="1938"/>
      <c r="P51" s="1938"/>
      <c r="Q51" s="1938"/>
      <c r="R51" s="1939" t="s">
        <v>1961</v>
      </c>
      <c r="S51" s="1939"/>
      <c r="T51" s="1939"/>
      <c r="U51" s="1939"/>
      <c r="V51" s="1939"/>
      <c r="W51" s="1939"/>
      <c r="X51" s="1939"/>
      <c r="Y51" s="1939"/>
      <c r="Z51" s="1939" t="s">
        <v>1962</v>
      </c>
      <c r="AA51" s="1939"/>
      <c r="AB51" s="1939"/>
      <c r="AC51" s="1939"/>
      <c r="AD51" s="1939"/>
      <c r="AE51" s="1939"/>
      <c r="AF51" s="1939"/>
      <c r="AG51" s="1939"/>
      <c r="AH51" s="1939" t="s">
        <v>1963</v>
      </c>
      <c r="AI51" s="1939"/>
      <c r="AJ51" s="1939"/>
      <c r="AK51" s="1939"/>
      <c r="AL51" s="1939"/>
      <c r="AM51" s="1939"/>
      <c r="AN51" s="1939"/>
      <c r="AO51" s="1940"/>
      <c r="AP51" s="969"/>
      <c r="AQ51" s="969"/>
      <c r="AR51" s="969"/>
      <c r="AS51" s="969"/>
      <c r="AT51" s="969"/>
      <c r="AU51" s="969"/>
      <c r="AV51" s="969"/>
      <c r="AW51" s="969"/>
      <c r="AX51" s="972"/>
      <c r="AY51" s="968"/>
      <c r="AZ51" s="968"/>
      <c r="BA51" s="968"/>
      <c r="BB51" s="968"/>
      <c r="BC51" s="968"/>
      <c r="BD51" s="968"/>
      <c r="BE51" s="971"/>
    </row>
    <row r="52" spans="1:58" ht="15.75" customHeight="1">
      <c r="A52" s="968"/>
      <c r="B52" s="1922" t="s">
        <v>1964</v>
      </c>
      <c r="C52" s="1923"/>
      <c r="D52" s="1923"/>
      <c r="E52" s="1923"/>
      <c r="F52" s="1923"/>
      <c r="G52" s="1923"/>
      <c r="H52" s="1923"/>
      <c r="I52" s="1923"/>
      <c r="J52" s="1941">
        <v>0</v>
      </c>
      <c r="K52" s="1941"/>
      <c r="L52" s="1941"/>
      <c r="M52" s="1941"/>
      <c r="N52" s="1941"/>
      <c r="O52" s="1941"/>
      <c r="P52" s="1941"/>
      <c r="Q52" s="1941"/>
      <c r="R52" s="1942">
        <v>0</v>
      </c>
      <c r="S52" s="1942"/>
      <c r="T52" s="1942"/>
      <c r="U52" s="1942"/>
      <c r="V52" s="1942"/>
      <c r="W52" s="1942"/>
      <c r="X52" s="1942"/>
      <c r="Y52" s="1942"/>
      <c r="Z52" s="1943">
        <v>0</v>
      </c>
      <c r="AA52" s="1943"/>
      <c r="AB52" s="1943"/>
      <c r="AC52" s="1943"/>
      <c r="AD52" s="1943"/>
      <c r="AE52" s="1943"/>
      <c r="AF52" s="1943"/>
      <c r="AG52" s="1943"/>
      <c r="AH52" s="1944"/>
      <c r="AI52" s="1944"/>
      <c r="AJ52" s="1944"/>
      <c r="AK52" s="1944"/>
      <c r="AL52" s="1944"/>
      <c r="AM52" s="1944"/>
      <c r="AN52" s="1944"/>
      <c r="AO52" s="1945"/>
      <c r="AP52" s="969"/>
      <c r="AQ52" s="969"/>
      <c r="AR52" s="969"/>
      <c r="AS52" s="969"/>
      <c r="AT52" s="969"/>
      <c r="AU52" s="969"/>
      <c r="AV52" s="969"/>
      <c r="AW52" s="969"/>
      <c r="AX52" s="972"/>
      <c r="AY52" s="968"/>
      <c r="AZ52" s="968"/>
      <c r="BA52" s="968"/>
      <c r="BB52" s="968"/>
      <c r="BC52" s="968"/>
      <c r="BD52" s="968"/>
      <c r="BE52" s="971"/>
    </row>
    <row r="53" spans="1:58" ht="15.75" customHeight="1">
      <c r="A53" s="968"/>
      <c r="B53" s="1922" t="s">
        <v>1965</v>
      </c>
      <c r="C53" s="1923"/>
      <c r="D53" s="1923"/>
      <c r="E53" s="1923"/>
      <c r="F53" s="1923"/>
      <c r="G53" s="1923"/>
      <c r="H53" s="1923"/>
      <c r="I53" s="1923"/>
      <c r="J53" s="1941">
        <v>0</v>
      </c>
      <c r="K53" s="1941"/>
      <c r="L53" s="1941"/>
      <c r="M53" s="1941"/>
      <c r="N53" s="1941"/>
      <c r="O53" s="1941"/>
      <c r="P53" s="1941"/>
      <c r="Q53" s="1941"/>
      <c r="R53" s="1942">
        <v>0</v>
      </c>
      <c r="S53" s="1942"/>
      <c r="T53" s="1942"/>
      <c r="U53" s="1942"/>
      <c r="V53" s="1942"/>
      <c r="W53" s="1942"/>
      <c r="X53" s="1942"/>
      <c r="Y53" s="1942"/>
      <c r="Z53" s="1943">
        <v>0</v>
      </c>
      <c r="AA53" s="1943"/>
      <c r="AB53" s="1943"/>
      <c r="AC53" s="1943"/>
      <c r="AD53" s="1943"/>
      <c r="AE53" s="1943"/>
      <c r="AF53" s="1943"/>
      <c r="AG53" s="1943"/>
      <c r="AH53" s="1944"/>
      <c r="AI53" s="1944"/>
      <c r="AJ53" s="1944"/>
      <c r="AK53" s="1944"/>
      <c r="AL53" s="1944"/>
      <c r="AM53" s="1944"/>
      <c r="AN53" s="1944"/>
      <c r="AO53" s="1945"/>
      <c r="AP53" s="969"/>
      <c r="AQ53" s="969"/>
      <c r="AR53" s="969"/>
      <c r="AS53" s="969"/>
      <c r="AT53" s="969"/>
      <c r="AU53" s="969"/>
      <c r="AV53" s="969"/>
      <c r="AW53" s="969"/>
      <c r="AX53" s="968"/>
      <c r="AY53" s="968"/>
      <c r="AZ53" s="968"/>
      <c r="BA53" s="968"/>
      <c r="BB53" s="968"/>
      <c r="BC53" s="968"/>
      <c r="BD53" s="968"/>
      <c r="BE53" s="971"/>
    </row>
    <row r="54" spans="1:58" ht="15.75" customHeight="1">
      <c r="A54" s="968"/>
      <c r="B54" s="1922"/>
      <c r="C54" s="1923"/>
      <c r="D54" s="1923"/>
      <c r="E54" s="1923"/>
      <c r="F54" s="1923"/>
      <c r="G54" s="1923"/>
      <c r="H54" s="1923"/>
      <c r="I54" s="1923"/>
      <c r="J54" s="1941"/>
      <c r="K54" s="1941"/>
      <c r="L54" s="1941"/>
      <c r="M54" s="1941"/>
      <c r="N54" s="1941"/>
      <c r="O54" s="1941"/>
      <c r="P54" s="1941"/>
      <c r="Q54" s="1941"/>
      <c r="R54" s="1942"/>
      <c r="S54" s="1942"/>
      <c r="T54" s="1942"/>
      <c r="U54" s="1942"/>
      <c r="V54" s="1942"/>
      <c r="W54" s="1942"/>
      <c r="X54" s="1942"/>
      <c r="Y54" s="1942"/>
      <c r="Z54" s="1943"/>
      <c r="AA54" s="1943"/>
      <c r="AB54" s="1943"/>
      <c r="AC54" s="1943"/>
      <c r="AD54" s="1943"/>
      <c r="AE54" s="1943"/>
      <c r="AF54" s="1943"/>
      <c r="AG54" s="1943"/>
      <c r="AH54" s="1944"/>
      <c r="AI54" s="1944"/>
      <c r="AJ54" s="1944"/>
      <c r="AK54" s="1944"/>
      <c r="AL54" s="1944"/>
      <c r="AM54" s="1944"/>
      <c r="AN54" s="1944"/>
      <c r="AO54" s="1945"/>
      <c r="AP54" s="969"/>
      <c r="AQ54" s="969"/>
      <c r="AR54" s="969"/>
      <c r="AS54" s="969"/>
      <c r="AT54" s="969"/>
      <c r="AU54" s="969"/>
      <c r="AV54" s="969"/>
      <c r="AW54" s="969"/>
      <c r="AX54" s="968"/>
      <c r="AY54" s="968"/>
      <c r="AZ54" s="968"/>
      <c r="BA54" s="968"/>
      <c r="BB54" s="968"/>
      <c r="BC54" s="968"/>
      <c r="BD54" s="968"/>
      <c r="BE54" s="971"/>
    </row>
    <row r="55" spans="1:58" ht="15.75" customHeight="1">
      <c r="A55" s="968"/>
      <c r="B55" s="1922"/>
      <c r="C55" s="1923"/>
      <c r="D55" s="1923"/>
      <c r="E55" s="1923"/>
      <c r="F55" s="1923"/>
      <c r="G55" s="1923"/>
      <c r="H55" s="1923"/>
      <c r="I55" s="1923"/>
      <c r="J55" s="1941"/>
      <c r="K55" s="1941"/>
      <c r="L55" s="1941"/>
      <c r="M55" s="1941"/>
      <c r="N55" s="1941"/>
      <c r="O55" s="1941"/>
      <c r="P55" s="1941"/>
      <c r="Q55" s="1941"/>
      <c r="R55" s="1942"/>
      <c r="S55" s="1942"/>
      <c r="T55" s="1942"/>
      <c r="U55" s="1942"/>
      <c r="V55" s="1942"/>
      <c r="W55" s="1942"/>
      <c r="X55" s="1942"/>
      <c r="Y55" s="1942"/>
      <c r="Z55" s="1943"/>
      <c r="AA55" s="1943"/>
      <c r="AB55" s="1943"/>
      <c r="AC55" s="1943"/>
      <c r="AD55" s="1943"/>
      <c r="AE55" s="1943"/>
      <c r="AF55" s="1943"/>
      <c r="AG55" s="1943"/>
      <c r="AH55" s="1944"/>
      <c r="AI55" s="1944"/>
      <c r="AJ55" s="1944"/>
      <c r="AK55" s="1944"/>
      <c r="AL55" s="1944"/>
      <c r="AM55" s="1944"/>
      <c r="AN55" s="1944"/>
      <c r="AO55" s="1945"/>
      <c r="AP55" s="969"/>
      <c r="AQ55" s="969"/>
      <c r="AR55" s="969"/>
      <c r="AS55" s="969"/>
      <c r="AT55" s="969" t="s">
        <v>254</v>
      </c>
      <c r="AU55" s="969"/>
      <c r="AV55" s="969"/>
      <c r="AW55" s="969"/>
      <c r="AX55" s="968"/>
      <c r="AY55" s="968"/>
      <c r="AZ55" s="968"/>
      <c r="BA55" s="968"/>
      <c r="BB55" s="968"/>
      <c r="BC55" s="968"/>
      <c r="BD55" s="968"/>
      <c r="BE55" s="971"/>
    </row>
    <row r="56" spans="1:58" ht="15.75" customHeight="1">
      <c r="A56" s="968"/>
      <c r="B56" s="1922"/>
      <c r="C56" s="1923"/>
      <c r="D56" s="1923"/>
      <c r="E56" s="1923"/>
      <c r="F56" s="1923"/>
      <c r="G56" s="1923"/>
      <c r="H56" s="1923"/>
      <c r="I56" s="1923"/>
      <c r="J56" s="1941"/>
      <c r="K56" s="1941"/>
      <c r="L56" s="1941"/>
      <c r="M56" s="1941"/>
      <c r="N56" s="1941"/>
      <c r="O56" s="1941"/>
      <c r="P56" s="1941"/>
      <c r="Q56" s="1941"/>
      <c r="R56" s="1942"/>
      <c r="S56" s="1942"/>
      <c r="T56" s="1942"/>
      <c r="U56" s="1942"/>
      <c r="V56" s="1942"/>
      <c r="W56" s="1942"/>
      <c r="X56" s="1942"/>
      <c r="Y56" s="1942"/>
      <c r="Z56" s="1943"/>
      <c r="AA56" s="1943"/>
      <c r="AB56" s="1943"/>
      <c r="AC56" s="1943"/>
      <c r="AD56" s="1943"/>
      <c r="AE56" s="1943"/>
      <c r="AF56" s="1943"/>
      <c r="AG56" s="1943"/>
      <c r="AH56" s="1944"/>
      <c r="AI56" s="1944"/>
      <c r="AJ56" s="1944"/>
      <c r="AK56" s="1944"/>
      <c r="AL56" s="1944"/>
      <c r="AM56" s="1944"/>
      <c r="AN56" s="1944"/>
      <c r="AO56" s="1945"/>
      <c r="AP56" s="969"/>
      <c r="AQ56" s="969"/>
      <c r="AR56" s="969"/>
      <c r="AS56" s="969"/>
      <c r="AT56" s="969"/>
      <c r="AU56" s="969"/>
      <c r="AV56" s="969"/>
      <c r="AW56" s="969"/>
      <c r="AX56" s="968"/>
      <c r="AY56" s="968"/>
      <c r="AZ56" s="968"/>
      <c r="BA56" s="968"/>
      <c r="BB56" s="968"/>
      <c r="BC56" s="968"/>
      <c r="BD56" s="968"/>
      <c r="BE56" s="971"/>
    </row>
    <row r="57" spans="1:58" s="975" customFormat="1" ht="15.75" customHeight="1" thickBot="1">
      <c r="A57" s="969"/>
      <c r="B57" s="1955" t="s">
        <v>1933</v>
      </c>
      <c r="C57" s="1956"/>
      <c r="D57" s="1956"/>
      <c r="E57" s="1956"/>
      <c r="F57" s="1956"/>
      <c r="G57" s="1956"/>
      <c r="H57" s="1956"/>
      <c r="I57" s="1956"/>
      <c r="J57" s="1956"/>
      <c r="K57" s="1956"/>
      <c r="L57" s="1956"/>
      <c r="M57" s="1956"/>
      <c r="N57" s="1956"/>
      <c r="O57" s="1956"/>
      <c r="P57" s="1956"/>
      <c r="Q57" s="1956"/>
      <c r="R57" s="1957">
        <f>SUM(R52:Y56)</f>
        <v>0</v>
      </c>
      <c r="S57" s="1957"/>
      <c r="T57" s="1957"/>
      <c r="U57" s="1957"/>
      <c r="V57" s="1957"/>
      <c r="W57" s="1957"/>
      <c r="X57" s="1957"/>
      <c r="Y57" s="1957"/>
      <c r="Z57" s="1958">
        <f>SUM(Z52:AG56)</f>
        <v>0</v>
      </c>
      <c r="AA57" s="1958"/>
      <c r="AB57" s="1958"/>
      <c r="AC57" s="1958"/>
      <c r="AD57" s="1958"/>
      <c r="AE57" s="1958"/>
      <c r="AF57" s="1958"/>
      <c r="AG57" s="1958"/>
      <c r="AH57" s="1959"/>
      <c r="AI57" s="1959"/>
      <c r="AJ57" s="1959"/>
      <c r="AK57" s="1959"/>
      <c r="AL57" s="1959"/>
      <c r="AM57" s="1959"/>
      <c r="AN57" s="1959"/>
      <c r="AO57" s="1960"/>
      <c r="AP57" s="969"/>
      <c r="AQ57" s="969"/>
      <c r="AR57" s="969"/>
      <c r="AS57" s="969"/>
      <c r="AT57" s="969"/>
      <c r="AU57" s="969"/>
      <c r="AV57" s="969"/>
      <c r="AW57" s="969"/>
      <c r="AX57" s="969"/>
      <c r="AY57" s="969"/>
      <c r="AZ57" s="969"/>
      <c r="BA57" s="969"/>
      <c r="BB57" s="969"/>
      <c r="BC57" s="969"/>
      <c r="BD57" s="969"/>
      <c r="BE57" s="974"/>
    </row>
    <row r="58" spans="1:58" ht="15.75" customHeight="1" thickBot="1">
      <c r="A58" s="968"/>
      <c r="B58" s="968"/>
      <c r="C58" s="968"/>
      <c r="D58" s="968"/>
      <c r="E58" s="968"/>
      <c r="F58" s="968"/>
      <c r="G58" s="968"/>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c r="AL58" s="968"/>
      <c r="AM58" s="968"/>
      <c r="AN58" s="968"/>
      <c r="AO58" s="968"/>
      <c r="AP58" s="968"/>
      <c r="AQ58" s="968"/>
      <c r="AR58" s="968"/>
      <c r="AS58" s="968"/>
      <c r="AT58" s="968"/>
      <c r="AU58" s="968"/>
      <c r="AV58" s="968"/>
      <c r="AW58" s="968"/>
      <c r="AX58" s="968"/>
      <c r="AY58" s="968"/>
      <c r="AZ58" s="968"/>
      <c r="BA58" s="968"/>
      <c r="BB58" s="968"/>
      <c r="BC58" s="968"/>
      <c r="BD58" s="968"/>
      <c r="BE58" s="971"/>
    </row>
    <row r="59" spans="1:58" ht="15.75" customHeight="1">
      <c r="A59" s="968"/>
      <c r="B59" s="1946" t="s">
        <v>1959</v>
      </c>
      <c r="C59" s="1947"/>
      <c r="D59" s="1947"/>
      <c r="E59" s="1947"/>
      <c r="F59" s="1947"/>
      <c r="G59" s="1947"/>
      <c r="H59" s="1947"/>
      <c r="I59" s="1948"/>
      <c r="J59" s="1840" t="s">
        <v>1966</v>
      </c>
      <c r="K59" s="1840"/>
      <c r="L59" s="1840"/>
      <c r="M59" s="1840"/>
      <c r="N59" s="1840"/>
      <c r="O59" s="1840"/>
      <c r="P59" s="1840"/>
      <c r="Q59" s="1840"/>
      <c r="R59" s="1840"/>
      <c r="S59" s="1840"/>
      <c r="T59" s="1840"/>
      <c r="U59" s="1840"/>
      <c r="V59" s="1840"/>
      <c r="W59" s="1840"/>
      <c r="X59" s="1840"/>
      <c r="Y59" s="1840"/>
      <c r="Z59" s="1840"/>
      <c r="AA59" s="1840"/>
      <c r="AB59" s="1840"/>
      <c r="AC59" s="1840"/>
      <c r="AD59" s="1840"/>
      <c r="AE59" s="1840"/>
      <c r="AF59" s="1840"/>
      <c r="AG59" s="1840"/>
      <c r="AH59" s="1840"/>
      <c r="AI59" s="1840"/>
      <c r="AJ59" s="1840"/>
      <c r="AK59" s="1840"/>
      <c r="AL59" s="1840"/>
      <c r="AM59" s="1840"/>
      <c r="AN59" s="1840"/>
      <c r="AO59" s="1840"/>
      <c r="AP59" s="1840"/>
      <c r="AQ59" s="1840"/>
      <c r="AR59" s="1840"/>
      <c r="AS59" s="1840"/>
      <c r="AT59" s="1840"/>
      <c r="AU59" s="1840"/>
      <c r="AV59" s="1840"/>
      <c r="AW59" s="1841"/>
      <c r="AX59" s="968"/>
      <c r="AY59" s="968"/>
      <c r="AZ59" s="968"/>
      <c r="BA59" s="968"/>
      <c r="BB59" s="968"/>
      <c r="BC59" s="968"/>
      <c r="BD59" s="968"/>
      <c r="BE59" s="971"/>
    </row>
    <row r="60" spans="1:58" ht="15.75" customHeight="1">
      <c r="A60" s="968"/>
      <c r="B60" s="1949" t="str">
        <f>IF(B52="", "", B52)</f>
        <v>Services Company 1</v>
      </c>
      <c r="C60" s="1950"/>
      <c r="D60" s="1950"/>
      <c r="E60" s="1950"/>
      <c r="F60" s="1950"/>
      <c r="G60" s="1950"/>
      <c r="H60" s="1950"/>
      <c r="I60" s="1951"/>
      <c r="J60" s="1952"/>
      <c r="K60" s="1953"/>
      <c r="L60" s="1953"/>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c r="AS60" s="1953"/>
      <c r="AT60" s="1953"/>
      <c r="AU60" s="1953"/>
      <c r="AV60" s="1953"/>
      <c r="AW60" s="1954"/>
      <c r="AX60" s="968"/>
      <c r="AY60" s="968"/>
      <c r="AZ60" s="968"/>
      <c r="BA60" s="968"/>
      <c r="BB60" s="968"/>
      <c r="BC60" s="968"/>
      <c r="BD60" s="968"/>
      <c r="BE60" s="971"/>
    </row>
    <row r="61" spans="1:58" ht="15.75" customHeight="1">
      <c r="A61" s="968"/>
      <c r="B61" s="1949" t="str">
        <f>IF(B53="", "", B53)</f>
        <v>Services Company 2</v>
      </c>
      <c r="C61" s="1950"/>
      <c r="D61" s="1950"/>
      <c r="E61" s="1950"/>
      <c r="F61" s="1950"/>
      <c r="G61" s="1950"/>
      <c r="H61" s="1950"/>
      <c r="I61" s="1951"/>
      <c r="J61" s="1952"/>
      <c r="K61" s="1953"/>
      <c r="L61" s="1953"/>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c r="AN61" s="1953"/>
      <c r="AO61" s="1953"/>
      <c r="AP61" s="1953"/>
      <c r="AQ61" s="1953"/>
      <c r="AR61" s="1953"/>
      <c r="AS61" s="1953"/>
      <c r="AT61" s="1953"/>
      <c r="AU61" s="1953"/>
      <c r="AV61" s="1953"/>
      <c r="AW61" s="1954"/>
      <c r="AX61" s="968"/>
      <c r="AY61" s="968"/>
      <c r="AZ61" s="968"/>
      <c r="BA61" s="968"/>
      <c r="BB61" s="968"/>
      <c r="BC61" s="968"/>
      <c r="BD61" s="968"/>
      <c r="BE61" s="971"/>
    </row>
    <row r="62" spans="1:58" ht="15.75" customHeight="1">
      <c r="A62" s="968"/>
      <c r="B62" s="1949" t="str">
        <f>IF(B54="", "", B54)</f>
        <v/>
      </c>
      <c r="C62" s="1950"/>
      <c r="D62" s="1950"/>
      <c r="E62" s="1950"/>
      <c r="F62" s="1950"/>
      <c r="G62" s="1950"/>
      <c r="H62" s="1950"/>
      <c r="I62" s="1951"/>
      <c r="J62" s="1952"/>
      <c r="K62" s="1953"/>
      <c r="L62" s="1953"/>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c r="AN62" s="1953"/>
      <c r="AO62" s="1953"/>
      <c r="AP62" s="1953"/>
      <c r="AQ62" s="1953"/>
      <c r="AR62" s="1953"/>
      <c r="AS62" s="1953"/>
      <c r="AT62" s="1953"/>
      <c r="AU62" s="1953"/>
      <c r="AV62" s="1953"/>
      <c r="AW62" s="1954"/>
      <c r="AX62" s="968"/>
      <c r="AY62" s="968"/>
      <c r="AZ62" s="968"/>
      <c r="BA62" s="968"/>
      <c r="BB62" s="968"/>
      <c r="BC62" s="968"/>
      <c r="BD62" s="968"/>
      <c r="BE62" s="971"/>
    </row>
    <row r="63" spans="1:58" ht="15.75" customHeight="1">
      <c r="A63" s="968"/>
      <c r="B63" s="1949" t="str">
        <f>IF(B55="", "", B55)</f>
        <v/>
      </c>
      <c r="C63" s="1950"/>
      <c r="D63" s="1950"/>
      <c r="E63" s="1950"/>
      <c r="F63" s="1950"/>
      <c r="G63" s="1950"/>
      <c r="H63" s="1950"/>
      <c r="I63" s="1951"/>
      <c r="J63" s="1952"/>
      <c r="K63" s="1953"/>
      <c r="L63" s="1953"/>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c r="AN63" s="1953"/>
      <c r="AO63" s="1953"/>
      <c r="AP63" s="1953"/>
      <c r="AQ63" s="1953"/>
      <c r="AR63" s="1953"/>
      <c r="AS63" s="1953"/>
      <c r="AT63" s="1953"/>
      <c r="AU63" s="1953"/>
      <c r="AV63" s="1953"/>
      <c r="AW63" s="1954"/>
      <c r="AX63" s="968"/>
      <c r="AY63" s="968"/>
      <c r="AZ63" s="968"/>
      <c r="BA63" s="968"/>
      <c r="BB63" s="968"/>
      <c r="BC63" s="968"/>
      <c r="BD63" s="968"/>
      <c r="BE63" s="971"/>
    </row>
    <row r="64" spans="1:58" ht="15.75" customHeight="1" thickBot="1">
      <c r="A64" s="968"/>
      <c r="B64" s="1971" t="str">
        <f>IF(B56="", "", B56)</f>
        <v/>
      </c>
      <c r="C64" s="1972"/>
      <c r="D64" s="1972"/>
      <c r="E64" s="1972"/>
      <c r="F64" s="1972"/>
      <c r="G64" s="1972"/>
      <c r="H64" s="1972"/>
      <c r="I64" s="1973"/>
      <c r="J64" s="1974"/>
      <c r="K64" s="1975"/>
      <c r="L64" s="1975"/>
      <c r="M64" s="1975"/>
      <c r="N64" s="1975"/>
      <c r="O64" s="1975"/>
      <c r="P64" s="1975"/>
      <c r="Q64" s="1975"/>
      <c r="R64" s="1975"/>
      <c r="S64" s="1975"/>
      <c r="T64" s="1975"/>
      <c r="U64" s="1975"/>
      <c r="V64" s="1975"/>
      <c r="W64" s="1975"/>
      <c r="X64" s="1975"/>
      <c r="Y64" s="1975"/>
      <c r="Z64" s="1975"/>
      <c r="AA64" s="1975"/>
      <c r="AB64" s="1975"/>
      <c r="AC64" s="1975"/>
      <c r="AD64" s="1975"/>
      <c r="AE64" s="1975"/>
      <c r="AF64" s="1975"/>
      <c r="AG64" s="1975"/>
      <c r="AH64" s="1975"/>
      <c r="AI64" s="1975"/>
      <c r="AJ64" s="1975"/>
      <c r="AK64" s="1975"/>
      <c r="AL64" s="1975"/>
      <c r="AM64" s="1975"/>
      <c r="AN64" s="1975"/>
      <c r="AO64" s="1975"/>
      <c r="AP64" s="1975"/>
      <c r="AQ64" s="1975"/>
      <c r="AR64" s="1975"/>
      <c r="AS64" s="1975"/>
      <c r="AT64" s="1975"/>
      <c r="AU64" s="1975"/>
      <c r="AV64" s="1975"/>
      <c r="AW64" s="1976"/>
      <c r="AX64" s="968"/>
      <c r="AY64" s="968"/>
      <c r="AZ64" s="968"/>
      <c r="BA64" s="968"/>
      <c r="BB64" s="968"/>
      <c r="BC64" s="968"/>
      <c r="BD64" s="968"/>
      <c r="BE64" s="971"/>
    </row>
    <row r="65" spans="1:94" ht="15.75" customHeight="1">
      <c r="A65" s="968"/>
      <c r="B65" s="968"/>
      <c r="C65" s="968"/>
      <c r="D65" s="968"/>
      <c r="E65" s="968"/>
      <c r="F65" s="968"/>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c r="AL65" s="968"/>
      <c r="AM65" s="968"/>
      <c r="AN65" s="968"/>
      <c r="AO65" s="968"/>
      <c r="AP65" s="968"/>
      <c r="AQ65" s="968"/>
      <c r="AR65" s="968"/>
      <c r="AS65" s="968"/>
      <c r="AT65" s="968"/>
      <c r="AU65" s="968"/>
      <c r="AV65" s="968"/>
      <c r="AW65" s="968"/>
      <c r="AX65" s="968"/>
      <c r="AY65" s="968"/>
      <c r="AZ65" s="968"/>
      <c r="BA65" s="968"/>
      <c r="BB65" s="968"/>
      <c r="BC65" s="968"/>
      <c r="BD65" s="968"/>
      <c r="BE65" s="971"/>
    </row>
    <row r="66" spans="1:94" ht="15.75" customHeight="1">
      <c r="A66" s="968"/>
      <c r="B66" s="975" t="s">
        <v>1967</v>
      </c>
      <c r="C66" s="975"/>
      <c r="D66" s="975"/>
      <c r="E66" s="975"/>
      <c r="F66" s="975"/>
      <c r="G66" s="975"/>
      <c r="H66" s="975"/>
      <c r="I66" s="975"/>
      <c r="J66" s="975"/>
      <c r="K66" s="975"/>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c r="AL66" s="968"/>
      <c r="AM66" s="968"/>
      <c r="AN66" s="968"/>
      <c r="AO66" s="968"/>
      <c r="AP66" s="968"/>
      <c r="AQ66" s="968"/>
      <c r="AR66" s="968"/>
      <c r="AS66" s="968"/>
      <c r="AT66" s="968"/>
      <c r="AU66" s="968"/>
      <c r="AV66" s="968"/>
      <c r="AW66" s="968"/>
      <c r="AX66" s="968"/>
      <c r="AY66" s="968"/>
      <c r="AZ66" s="968"/>
      <c r="BA66" s="968"/>
      <c r="BB66" s="968"/>
      <c r="BC66" s="968"/>
      <c r="BD66" s="968"/>
      <c r="BE66" s="971"/>
    </row>
    <row r="67" spans="1:94" ht="15.75" customHeight="1" thickBot="1">
      <c r="A67" s="968"/>
      <c r="B67" s="968"/>
      <c r="C67" s="968"/>
      <c r="D67" s="968"/>
      <c r="E67" s="968"/>
      <c r="F67" s="968"/>
      <c r="G67" s="968"/>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c r="AL67" s="968"/>
      <c r="AM67" s="968"/>
      <c r="AN67" s="968"/>
      <c r="AO67" s="968"/>
      <c r="AP67" s="968"/>
      <c r="AQ67" s="968"/>
      <c r="AR67" s="968"/>
      <c r="AS67" s="968"/>
      <c r="AT67" s="968"/>
      <c r="AU67" s="968"/>
      <c r="AV67" s="968"/>
      <c r="AW67" s="968"/>
      <c r="AX67" s="968"/>
      <c r="AY67" s="968"/>
      <c r="AZ67" s="968"/>
      <c r="BA67" s="968"/>
      <c r="BB67" s="968"/>
      <c r="BC67" s="968"/>
      <c r="BD67" s="968"/>
      <c r="BE67" s="971"/>
    </row>
    <row r="68" spans="1:94" ht="15.75" customHeight="1" thickBot="1">
      <c r="A68" s="968"/>
      <c r="B68" s="1839" t="s">
        <v>1968</v>
      </c>
      <c r="C68" s="1840"/>
      <c r="D68" s="1840"/>
      <c r="E68" s="1840"/>
      <c r="F68" s="1840"/>
      <c r="G68" s="1840"/>
      <c r="H68" s="1840"/>
      <c r="I68" s="1840"/>
      <c r="J68" s="1840"/>
      <c r="K68" s="1840"/>
      <c r="L68" s="1840"/>
      <c r="M68" s="1840"/>
      <c r="N68" s="1840"/>
      <c r="O68" s="1840"/>
      <c r="P68" s="1840"/>
      <c r="Q68" s="1840"/>
      <c r="R68" s="1840"/>
      <c r="S68" s="1840"/>
      <c r="T68" s="1840"/>
      <c r="U68" s="1840"/>
      <c r="V68" s="1840"/>
      <c r="W68" s="1840"/>
      <c r="X68" s="1840"/>
      <c r="Y68" s="1840"/>
      <c r="Z68" s="1840"/>
      <c r="AA68" s="1841"/>
      <c r="AB68" s="968"/>
      <c r="AC68" s="1983" t="s">
        <v>1969</v>
      </c>
      <c r="AD68" s="1984"/>
      <c r="AE68" s="1984"/>
      <c r="AF68" s="1984"/>
      <c r="AG68" s="1984"/>
      <c r="AH68" s="1984"/>
      <c r="AI68" s="1984"/>
      <c r="AJ68" s="1984"/>
      <c r="AK68" s="1984"/>
      <c r="AL68" s="1984"/>
      <c r="AM68" s="1984"/>
      <c r="AN68" s="1984"/>
      <c r="AO68" s="1984"/>
      <c r="AP68" s="1984"/>
      <c r="AQ68" s="1984"/>
      <c r="AR68" s="1984"/>
      <c r="AS68" s="1984"/>
      <c r="AT68" s="1984"/>
      <c r="AU68" s="1984"/>
      <c r="AV68" s="1961" t="s">
        <v>695</v>
      </c>
      <c r="AW68" s="1962"/>
      <c r="AX68" s="1962"/>
      <c r="AY68" s="1962"/>
      <c r="AZ68" s="1962"/>
      <c r="BA68" s="1962"/>
      <c r="BB68" s="1962"/>
      <c r="BC68" s="1963"/>
      <c r="BD68" s="968"/>
      <c r="BE68" s="971"/>
      <c r="BM68" s="976" t="s">
        <v>1970</v>
      </c>
    </row>
    <row r="69" spans="1:94" ht="15.75" customHeight="1" thickTop="1" thickBot="1">
      <c r="A69" s="968"/>
      <c r="B69" s="1964" t="s">
        <v>1971</v>
      </c>
      <c r="C69" s="1965"/>
      <c r="D69" s="1965"/>
      <c r="E69" s="1965"/>
      <c r="F69" s="1965"/>
      <c r="G69" s="1965"/>
      <c r="H69" s="1965"/>
      <c r="I69" s="1965"/>
      <c r="J69" s="1965"/>
      <c r="K69" s="1965"/>
      <c r="L69" s="1965"/>
      <c r="M69" s="1965"/>
      <c r="N69" s="1965"/>
      <c r="O69" s="1966" t="s">
        <v>1972</v>
      </c>
      <c r="P69" s="1967"/>
      <c r="Q69" s="1967"/>
      <c r="R69" s="1967"/>
      <c r="S69" s="1967"/>
      <c r="T69" s="1967"/>
      <c r="U69" s="1967"/>
      <c r="V69" s="1967"/>
      <c r="W69" s="1967"/>
      <c r="X69" s="1967"/>
      <c r="Y69" s="1967"/>
      <c r="Z69" s="1967"/>
      <c r="AA69" s="1968"/>
      <c r="AB69" s="968"/>
      <c r="AC69" s="1969" t="s">
        <v>1973</v>
      </c>
      <c r="AD69" s="1970"/>
      <c r="AE69" s="1970"/>
      <c r="AF69" s="1970"/>
      <c r="AG69" s="1970"/>
      <c r="AH69" s="1970"/>
      <c r="AI69" s="1970"/>
      <c r="AJ69" s="1970"/>
      <c r="AK69" s="1970"/>
      <c r="AL69" s="1970"/>
      <c r="AM69" s="1970"/>
      <c r="AN69" s="1970"/>
      <c r="AO69" s="1970"/>
      <c r="AP69" s="1970"/>
      <c r="AQ69" s="1970"/>
      <c r="AR69" s="1970"/>
      <c r="AS69" s="1970"/>
      <c r="AT69" s="1970"/>
      <c r="AU69" s="1970"/>
      <c r="AV69" s="1961" t="s">
        <v>695</v>
      </c>
      <c r="AW69" s="1962"/>
      <c r="AX69" s="1962"/>
      <c r="AY69" s="1962"/>
      <c r="AZ69" s="1962"/>
      <c r="BA69" s="1962"/>
      <c r="BB69" s="1962"/>
      <c r="BC69" s="1963"/>
      <c r="BD69" s="968"/>
      <c r="BE69" s="971"/>
      <c r="BM69" s="977" t="s">
        <v>847</v>
      </c>
    </row>
    <row r="70" spans="1:94" ht="15.75" customHeight="1">
      <c r="A70" s="968"/>
      <c r="B70" s="1918" t="s">
        <v>1974</v>
      </c>
      <c r="C70" s="1919"/>
      <c r="D70" s="1919"/>
      <c r="E70" s="1919"/>
      <c r="F70" s="1919"/>
      <c r="G70" s="1919"/>
      <c r="H70" s="1919"/>
      <c r="I70" s="1919"/>
      <c r="J70" s="1919"/>
      <c r="K70" s="1919"/>
      <c r="L70" s="1919"/>
      <c r="M70" s="1919"/>
      <c r="N70" s="1919"/>
      <c r="O70" s="1977">
        <v>0</v>
      </c>
      <c r="P70" s="1977"/>
      <c r="Q70" s="1977"/>
      <c r="R70" s="1977"/>
      <c r="S70" s="1977"/>
      <c r="T70" s="1977"/>
      <c r="U70" s="1977"/>
      <c r="V70" s="1977"/>
      <c r="W70" s="1977"/>
      <c r="X70" s="1977"/>
      <c r="Y70" s="1977"/>
      <c r="Z70" s="1977"/>
      <c r="AA70" s="1978"/>
      <c r="AB70" s="968"/>
      <c r="AC70" s="1934" t="s">
        <v>1975</v>
      </c>
      <c r="AD70" s="1935"/>
      <c r="AE70" s="1935"/>
      <c r="AF70" s="1979"/>
      <c r="AG70" s="1979"/>
      <c r="AH70" s="1979"/>
      <c r="AI70" s="1979"/>
      <c r="AJ70" s="1979"/>
      <c r="AK70" s="1979"/>
      <c r="AL70" s="1979"/>
      <c r="AM70" s="1979"/>
      <c r="AN70" s="1979"/>
      <c r="AO70" s="1979"/>
      <c r="AP70" s="1979"/>
      <c r="AQ70" s="1979"/>
      <c r="AR70" s="1979"/>
      <c r="AS70" s="1979"/>
      <c r="AT70" s="1979"/>
      <c r="AU70" s="1980"/>
      <c r="AV70" s="968"/>
      <c r="AW70" s="968"/>
      <c r="AX70" s="968"/>
      <c r="AY70" s="968"/>
      <c r="AZ70" s="968"/>
      <c r="BA70" s="968"/>
      <c r="BB70" s="968"/>
      <c r="BC70" s="968"/>
      <c r="BD70" s="968"/>
      <c r="BE70" s="971"/>
      <c r="BM70" s="978" t="s">
        <v>695</v>
      </c>
    </row>
    <row r="71" spans="1:94" ht="15.75" customHeight="1" thickBot="1">
      <c r="A71" s="968"/>
      <c r="B71" s="1918" t="s">
        <v>1976</v>
      </c>
      <c r="C71" s="1919"/>
      <c r="D71" s="1919"/>
      <c r="E71" s="1919"/>
      <c r="F71" s="1919"/>
      <c r="G71" s="1919"/>
      <c r="H71" s="1919"/>
      <c r="I71" s="1919"/>
      <c r="J71" s="1919"/>
      <c r="K71" s="1919"/>
      <c r="L71" s="1919"/>
      <c r="M71" s="1919"/>
      <c r="N71" s="1919"/>
      <c r="O71" s="1977">
        <v>0</v>
      </c>
      <c r="P71" s="1977"/>
      <c r="Q71" s="1977"/>
      <c r="R71" s="1977"/>
      <c r="S71" s="1977"/>
      <c r="T71" s="1977"/>
      <c r="U71" s="1977"/>
      <c r="V71" s="1977"/>
      <c r="W71" s="1977"/>
      <c r="X71" s="1977"/>
      <c r="Y71" s="1977"/>
      <c r="Z71" s="1977"/>
      <c r="AA71" s="1978"/>
      <c r="AB71" s="968"/>
      <c r="AC71" s="1981" t="s">
        <v>1977</v>
      </c>
      <c r="AD71" s="1982"/>
      <c r="AE71" s="1982"/>
      <c r="AF71" s="1975"/>
      <c r="AG71" s="1975"/>
      <c r="AH71" s="1975"/>
      <c r="AI71" s="1975"/>
      <c r="AJ71" s="1975"/>
      <c r="AK71" s="1975"/>
      <c r="AL71" s="1975"/>
      <c r="AM71" s="1975"/>
      <c r="AN71" s="1975"/>
      <c r="AO71" s="1975"/>
      <c r="AP71" s="1975"/>
      <c r="AQ71" s="1975"/>
      <c r="AR71" s="1975"/>
      <c r="AS71" s="1975"/>
      <c r="AT71" s="1975"/>
      <c r="AU71" s="1976"/>
      <c r="AV71" s="968"/>
      <c r="AW71" s="968"/>
      <c r="AX71" s="968"/>
      <c r="AY71" s="968"/>
      <c r="AZ71" s="968"/>
      <c r="BA71" s="968"/>
      <c r="BB71" s="968"/>
      <c r="BC71" s="968"/>
      <c r="BD71" s="968"/>
      <c r="BE71" s="971"/>
      <c r="BM71" s="965" t="s">
        <v>1978</v>
      </c>
    </row>
    <row r="72" spans="1:94" ht="15.75" customHeight="1">
      <c r="A72" s="968"/>
      <c r="B72" s="1918" t="s">
        <v>1979</v>
      </c>
      <c r="C72" s="1919"/>
      <c r="D72" s="1919"/>
      <c r="E72" s="1919"/>
      <c r="F72" s="1919"/>
      <c r="G72" s="1919"/>
      <c r="H72" s="1919"/>
      <c r="I72" s="1919"/>
      <c r="J72" s="1919"/>
      <c r="K72" s="1919"/>
      <c r="L72" s="1919"/>
      <c r="M72" s="1919"/>
      <c r="N72" s="1919"/>
      <c r="O72" s="1977">
        <v>0</v>
      </c>
      <c r="P72" s="1977"/>
      <c r="Q72" s="1977"/>
      <c r="R72" s="1977"/>
      <c r="S72" s="1977"/>
      <c r="T72" s="1977"/>
      <c r="U72" s="1977"/>
      <c r="V72" s="1977"/>
      <c r="W72" s="1977"/>
      <c r="X72" s="1977"/>
      <c r="Y72" s="1977"/>
      <c r="Z72" s="1977"/>
      <c r="AA72" s="1978"/>
      <c r="AB72" s="968"/>
      <c r="AC72" s="2001" t="s">
        <v>1980</v>
      </c>
      <c r="AD72" s="2002"/>
      <c r="AE72" s="2002"/>
      <c r="AF72" s="2002"/>
      <c r="AG72" s="2002"/>
      <c r="AH72" s="2002"/>
      <c r="AI72" s="2002"/>
      <c r="AJ72" s="2002"/>
      <c r="AK72" s="2002"/>
      <c r="AL72" s="2002"/>
      <c r="AM72" s="2002"/>
      <c r="AN72" s="2002"/>
      <c r="AO72" s="2002"/>
      <c r="AP72" s="2002"/>
      <c r="AQ72" s="2002"/>
      <c r="AR72" s="2002"/>
      <c r="AS72" s="2002"/>
      <c r="AT72" s="2002"/>
      <c r="AU72" s="2002"/>
      <c r="AV72" s="1935"/>
      <c r="AW72" s="1935"/>
      <c r="AX72" s="1935"/>
      <c r="AY72" s="1935"/>
      <c r="AZ72" s="1935"/>
      <c r="BA72" s="1935"/>
      <c r="BB72" s="1935"/>
      <c r="BC72" s="1936"/>
      <c r="BD72" s="968"/>
      <c r="BE72" s="971"/>
    </row>
    <row r="73" spans="1:94" ht="15.75" customHeight="1">
      <c r="A73" s="968"/>
      <c r="B73" s="1922" t="s">
        <v>1981</v>
      </c>
      <c r="C73" s="1923"/>
      <c r="D73" s="1923"/>
      <c r="E73" s="1923"/>
      <c r="F73" s="1923"/>
      <c r="G73" s="1923"/>
      <c r="H73" s="1923"/>
      <c r="I73" s="1923"/>
      <c r="J73" s="1923"/>
      <c r="K73" s="1923"/>
      <c r="L73" s="1923"/>
      <c r="M73" s="1923"/>
      <c r="N73" s="1923"/>
      <c r="O73" s="1977">
        <v>0</v>
      </c>
      <c r="P73" s="1977"/>
      <c r="Q73" s="1977"/>
      <c r="R73" s="1977"/>
      <c r="S73" s="1977"/>
      <c r="T73" s="1977"/>
      <c r="U73" s="1977"/>
      <c r="V73" s="1977"/>
      <c r="W73" s="1977"/>
      <c r="X73" s="1977"/>
      <c r="Y73" s="1977"/>
      <c r="Z73" s="1977"/>
      <c r="AA73" s="1978"/>
      <c r="AB73" s="968"/>
      <c r="AC73" s="2003" t="s">
        <v>1982</v>
      </c>
      <c r="AD73" s="2004"/>
      <c r="AE73" s="2004"/>
      <c r="AF73" s="2004"/>
      <c r="AG73" s="2004"/>
      <c r="AH73" s="2004"/>
      <c r="AI73" s="2004"/>
      <c r="AJ73" s="2004"/>
      <c r="AK73" s="2004"/>
      <c r="AL73" s="2004"/>
      <c r="AM73" s="2004"/>
      <c r="AN73" s="2004"/>
      <c r="AO73" s="2004"/>
      <c r="AP73" s="2004"/>
      <c r="AQ73" s="2004"/>
      <c r="AR73" s="2004"/>
      <c r="AS73" s="2004"/>
      <c r="AT73" s="2004"/>
      <c r="AU73" s="2004"/>
      <c r="AV73" s="2004"/>
      <c r="AW73" s="2004"/>
      <c r="AX73" s="2004"/>
      <c r="AY73" s="2004"/>
      <c r="AZ73" s="2004"/>
      <c r="BA73" s="2004"/>
      <c r="BB73" s="2004"/>
      <c r="BC73" s="2005"/>
      <c r="BD73" s="968"/>
      <c r="BE73" s="971"/>
      <c r="CK73" s="966"/>
      <c r="CL73" s="966"/>
      <c r="CM73" s="966"/>
      <c r="CN73" s="966"/>
      <c r="CO73" s="966"/>
      <c r="CP73" s="966"/>
    </row>
    <row r="74" spans="1:94" ht="15.75" customHeight="1">
      <c r="A74" s="968"/>
      <c r="B74" s="2009"/>
      <c r="C74" s="1941"/>
      <c r="D74" s="1941"/>
      <c r="E74" s="1941"/>
      <c r="F74" s="1941"/>
      <c r="G74" s="1941"/>
      <c r="H74" s="1941"/>
      <c r="I74" s="1941"/>
      <c r="J74" s="1941"/>
      <c r="K74" s="1941"/>
      <c r="L74" s="1941"/>
      <c r="M74" s="1941"/>
      <c r="N74" s="1941"/>
      <c r="O74" s="1977"/>
      <c r="P74" s="1977"/>
      <c r="Q74" s="1977"/>
      <c r="R74" s="1977"/>
      <c r="S74" s="1977"/>
      <c r="T74" s="1977"/>
      <c r="U74" s="1977"/>
      <c r="V74" s="1977"/>
      <c r="W74" s="1977"/>
      <c r="X74" s="1977"/>
      <c r="Y74" s="1977"/>
      <c r="Z74" s="1977"/>
      <c r="AA74" s="1978"/>
      <c r="AB74" s="968"/>
      <c r="AC74" s="2003"/>
      <c r="AD74" s="2004"/>
      <c r="AE74" s="2004"/>
      <c r="AF74" s="2004"/>
      <c r="AG74" s="2004"/>
      <c r="AH74" s="2004"/>
      <c r="AI74" s="2004"/>
      <c r="AJ74" s="2004"/>
      <c r="AK74" s="2004"/>
      <c r="AL74" s="2004"/>
      <c r="AM74" s="2004"/>
      <c r="AN74" s="2004"/>
      <c r="AO74" s="2004"/>
      <c r="AP74" s="2004"/>
      <c r="AQ74" s="2004"/>
      <c r="AR74" s="2004"/>
      <c r="AS74" s="2004"/>
      <c r="AT74" s="2004"/>
      <c r="AU74" s="2004"/>
      <c r="AV74" s="2004"/>
      <c r="AW74" s="2004"/>
      <c r="AX74" s="2004"/>
      <c r="AY74" s="2004"/>
      <c r="AZ74" s="2004"/>
      <c r="BA74" s="2004"/>
      <c r="BB74" s="2004"/>
      <c r="BC74" s="2005"/>
      <c r="BD74" s="968"/>
      <c r="BE74" s="971"/>
      <c r="CK74" s="966"/>
      <c r="CL74" s="966"/>
      <c r="CM74" s="966"/>
      <c r="CN74" s="966"/>
      <c r="CO74" s="966"/>
      <c r="CP74" s="966"/>
    </row>
    <row r="75" spans="1:94" ht="15.75" customHeight="1" thickBot="1">
      <c r="A75" s="968"/>
      <c r="B75" s="2010" t="s">
        <v>1501</v>
      </c>
      <c r="C75" s="2011"/>
      <c r="D75" s="2011"/>
      <c r="E75" s="2011"/>
      <c r="F75" s="2011"/>
      <c r="G75" s="2011"/>
      <c r="H75" s="2011"/>
      <c r="I75" s="2011"/>
      <c r="J75" s="2011"/>
      <c r="K75" s="2011"/>
      <c r="L75" s="2011"/>
      <c r="M75" s="2011"/>
      <c r="N75" s="2011"/>
      <c r="O75" s="2012">
        <f>SUM(O70:AA74)</f>
        <v>0</v>
      </c>
      <c r="P75" s="2012"/>
      <c r="Q75" s="2012"/>
      <c r="R75" s="2012"/>
      <c r="S75" s="2012"/>
      <c r="T75" s="2012"/>
      <c r="U75" s="2012"/>
      <c r="V75" s="2012"/>
      <c r="W75" s="2012"/>
      <c r="X75" s="2012"/>
      <c r="Y75" s="2012"/>
      <c r="Z75" s="2012"/>
      <c r="AA75" s="2013"/>
      <c r="AB75" s="968"/>
      <c r="AC75" s="2003"/>
      <c r="AD75" s="2004"/>
      <c r="AE75" s="2004"/>
      <c r="AF75" s="2004"/>
      <c r="AG75" s="2004"/>
      <c r="AH75" s="2004"/>
      <c r="AI75" s="2004"/>
      <c r="AJ75" s="2004"/>
      <c r="AK75" s="2004"/>
      <c r="AL75" s="2004"/>
      <c r="AM75" s="2004"/>
      <c r="AN75" s="2004"/>
      <c r="AO75" s="2004"/>
      <c r="AP75" s="2004"/>
      <c r="AQ75" s="2004"/>
      <c r="AR75" s="2004"/>
      <c r="AS75" s="2004"/>
      <c r="AT75" s="2004"/>
      <c r="AU75" s="2004"/>
      <c r="AV75" s="2004"/>
      <c r="AW75" s="2004"/>
      <c r="AX75" s="2004"/>
      <c r="AY75" s="2004"/>
      <c r="AZ75" s="2004"/>
      <c r="BA75" s="2004"/>
      <c r="BB75" s="2004"/>
      <c r="BC75" s="2005"/>
      <c r="BD75" s="968"/>
      <c r="BE75" s="971"/>
      <c r="CK75" s="966"/>
      <c r="CL75" s="966"/>
      <c r="CM75" s="966"/>
      <c r="CN75" s="966"/>
      <c r="CO75" s="966"/>
      <c r="CP75" s="966"/>
    </row>
    <row r="76" spans="1:94" ht="15.75" customHeight="1">
      <c r="A76" s="968"/>
      <c r="B76" s="968"/>
      <c r="C76" s="968"/>
      <c r="D76" s="968"/>
      <c r="E76" s="968"/>
      <c r="F76" s="968"/>
      <c r="G76" s="968"/>
      <c r="H76" s="968"/>
      <c r="I76" s="968"/>
      <c r="J76" s="968"/>
      <c r="K76" s="968"/>
      <c r="L76" s="968"/>
      <c r="M76" s="968"/>
      <c r="N76" s="968"/>
      <c r="O76" s="968"/>
      <c r="P76" s="968"/>
      <c r="Q76" s="968"/>
      <c r="R76" s="968"/>
      <c r="S76" s="968"/>
      <c r="T76" s="968"/>
      <c r="U76" s="968"/>
      <c r="V76" s="968"/>
      <c r="W76" s="968"/>
      <c r="X76" s="968"/>
      <c r="Y76" s="968"/>
      <c r="Z76" s="968"/>
      <c r="AA76" s="968"/>
      <c r="AB76" s="968"/>
      <c r="AC76" s="2003"/>
      <c r="AD76" s="2004"/>
      <c r="AE76" s="2004"/>
      <c r="AF76" s="2004"/>
      <c r="AG76" s="2004"/>
      <c r="AH76" s="2004"/>
      <c r="AI76" s="2004"/>
      <c r="AJ76" s="2004"/>
      <c r="AK76" s="2004"/>
      <c r="AL76" s="2004"/>
      <c r="AM76" s="2004"/>
      <c r="AN76" s="2004"/>
      <c r="AO76" s="2004"/>
      <c r="AP76" s="2004"/>
      <c r="AQ76" s="2004"/>
      <c r="AR76" s="2004"/>
      <c r="AS76" s="2004"/>
      <c r="AT76" s="2004"/>
      <c r="AU76" s="2004"/>
      <c r="AV76" s="2004"/>
      <c r="AW76" s="2004"/>
      <c r="AX76" s="2004"/>
      <c r="AY76" s="2004"/>
      <c r="AZ76" s="2004"/>
      <c r="BA76" s="2004"/>
      <c r="BB76" s="2004"/>
      <c r="BC76" s="2005"/>
      <c r="BD76" s="968"/>
      <c r="BE76" s="971"/>
      <c r="CK76" s="966"/>
      <c r="CL76" s="966"/>
      <c r="CM76" s="966"/>
      <c r="CN76" s="966"/>
      <c r="CO76" s="966"/>
      <c r="CP76" s="966"/>
    </row>
    <row r="77" spans="1:94" ht="15.75" customHeight="1" thickBot="1">
      <c r="A77" s="968"/>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2006"/>
      <c r="AD77" s="2007"/>
      <c r="AE77" s="2007"/>
      <c r="AF77" s="2007"/>
      <c r="AG77" s="2007"/>
      <c r="AH77" s="2007"/>
      <c r="AI77" s="2007"/>
      <c r="AJ77" s="2007"/>
      <c r="AK77" s="2007"/>
      <c r="AL77" s="2007"/>
      <c r="AM77" s="2007"/>
      <c r="AN77" s="2007"/>
      <c r="AO77" s="2007"/>
      <c r="AP77" s="2007"/>
      <c r="AQ77" s="2007"/>
      <c r="AR77" s="2007"/>
      <c r="AS77" s="2007"/>
      <c r="AT77" s="2007"/>
      <c r="AU77" s="2007"/>
      <c r="AV77" s="2007"/>
      <c r="AW77" s="2007"/>
      <c r="AX77" s="2007"/>
      <c r="AY77" s="2007"/>
      <c r="AZ77" s="2007"/>
      <c r="BA77" s="2007"/>
      <c r="BB77" s="2007"/>
      <c r="BC77" s="2008"/>
      <c r="BD77" s="968"/>
      <c r="BE77" s="971"/>
      <c r="CK77" s="966"/>
      <c r="CL77" s="966"/>
      <c r="CM77" s="966"/>
      <c r="CN77" s="966"/>
      <c r="CO77" s="966"/>
      <c r="CP77" s="966"/>
    </row>
    <row r="78" spans="1:94" ht="15.75" customHeight="1" thickBot="1">
      <c r="A78" s="968"/>
      <c r="B78" s="979" t="s">
        <v>1983</v>
      </c>
      <c r="C78" s="980"/>
      <c r="D78" s="981"/>
      <c r="E78" s="981"/>
      <c r="F78" s="981"/>
      <c r="G78" s="981"/>
      <c r="H78" s="981"/>
      <c r="I78" s="981"/>
      <c r="J78" s="981"/>
      <c r="K78" s="981"/>
      <c r="L78" s="981"/>
      <c r="M78" s="981"/>
      <c r="N78" s="981"/>
      <c r="O78" s="981"/>
      <c r="P78" s="981"/>
      <c r="Q78" s="981"/>
      <c r="R78" s="981"/>
      <c r="S78" s="981"/>
      <c r="T78" s="982"/>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8"/>
      <c r="BA78" s="968"/>
      <c r="BB78" s="968"/>
      <c r="BC78" s="968"/>
      <c r="BD78" s="968"/>
      <c r="BE78" s="971"/>
      <c r="CK78" s="966"/>
      <c r="CL78" s="966"/>
      <c r="CM78" s="966"/>
      <c r="CN78" s="966"/>
      <c r="CO78" s="966"/>
      <c r="CP78" s="966"/>
    </row>
    <row r="79" spans="1:94" ht="15.75" customHeight="1">
      <c r="A79" s="968"/>
      <c r="B79" s="979" t="s">
        <v>1984</v>
      </c>
      <c r="C79" s="983"/>
      <c r="D79" s="983"/>
      <c r="E79" s="984"/>
      <c r="F79" s="1985"/>
      <c r="G79" s="1986"/>
      <c r="H79" s="1986"/>
      <c r="I79" s="1986"/>
      <c r="J79" s="1986"/>
      <c r="K79" s="1986"/>
      <c r="L79" s="1986"/>
      <c r="M79" s="1986"/>
      <c r="N79" s="1986"/>
      <c r="O79" s="1986"/>
      <c r="P79" s="1986"/>
      <c r="Q79" s="1986"/>
      <c r="R79" s="1986"/>
      <c r="S79" s="1986"/>
      <c r="T79" s="1987"/>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8"/>
      <c r="BA79" s="968"/>
      <c r="BB79" s="968"/>
      <c r="BC79" s="968"/>
      <c r="BD79" s="968"/>
      <c r="BE79" s="971"/>
      <c r="CK79" s="966"/>
      <c r="CL79" s="966"/>
      <c r="CM79" s="966"/>
      <c r="CN79" s="966"/>
      <c r="CO79" s="966"/>
      <c r="CP79" s="966"/>
    </row>
    <row r="80" spans="1:94" ht="15.75" customHeight="1" thickBot="1">
      <c r="A80" s="968"/>
      <c r="B80" s="1988" t="s">
        <v>1985</v>
      </c>
      <c r="C80" s="1989"/>
      <c r="D80" s="1989"/>
      <c r="E80" s="1989"/>
      <c r="F80" s="1989"/>
      <c r="G80" s="1989"/>
      <c r="H80" s="1989"/>
      <c r="I80" s="1989"/>
      <c r="J80" s="1989"/>
      <c r="K80" s="1989"/>
      <c r="L80" s="1989"/>
      <c r="M80" s="1989"/>
      <c r="N80" s="1989"/>
      <c r="O80" s="1989"/>
      <c r="P80" s="1989"/>
      <c r="Q80" s="1989"/>
      <c r="R80" s="1990" t="str">
        <f>IFERROR(INDEX(BR96:BR98,MATCH(F79,$BQ$96:$BQ$98,0))/SUM($BR$96:$BR$98),"")</f>
        <v/>
      </c>
      <c r="S80" s="1991"/>
      <c r="T80" s="1992"/>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8"/>
      <c r="BA80" s="968"/>
      <c r="BB80" s="968"/>
      <c r="BC80" s="968"/>
      <c r="BD80" s="968"/>
      <c r="BE80" s="971"/>
      <c r="CK80" s="966"/>
      <c r="CL80" s="966"/>
      <c r="CM80" s="966"/>
      <c r="CN80" s="966"/>
      <c r="CO80" s="966"/>
      <c r="CP80" s="966"/>
    </row>
    <row r="81" spans="1:94" ht="15.75" customHeight="1" thickBot="1">
      <c r="A81" s="968"/>
      <c r="B81" s="1993" t="s">
        <v>1986</v>
      </c>
      <c r="C81" s="1994"/>
      <c r="D81" s="1994"/>
      <c r="E81" s="1994"/>
      <c r="F81" s="1994"/>
      <c r="G81" s="1994"/>
      <c r="H81" s="1994"/>
      <c r="I81" s="1994"/>
      <c r="J81" s="1994"/>
      <c r="K81" s="1994"/>
      <c r="L81" s="1994"/>
      <c r="M81" s="1994"/>
      <c r="N81" s="1994"/>
      <c r="O81" s="1994"/>
      <c r="P81" s="1994"/>
      <c r="Q81" s="1994"/>
      <c r="R81" s="1995" t="s">
        <v>1987</v>
      </c>
      <c r="S81" s="1996"/>
      <c r="T81" s="1997"/>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8"/>
      <c r="BA81" s="968"/>
      <c r="BB81" s="968"/>
      <c r="BC81" s="968"/>
      <c r="BD81" s="968"/>
      <c r="BE81" s="971"/>
      <c r="CK81" s="966"/>
      <c r="CL81" s="966"/>
      <c r="CM81" s="966"/>
      <c r="CN81" s="966"/>
      <c r="CO81" s="966"/>
      <c r="CP81" s="966"/>
    </row>
    <row r="82" spans="1:94" ht="15.75" customHeight="1" thickBo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8"/>
      <c r="BA82" s="968"/>
      <c r="BB82" s="968"/>
      <c r="BC82" s="968"/>
      <c r="BD82" s="968"/>
      <c r="BE82" s="971"/>
      <c r="CK82" s="966"/>
      <c r="CL82" s="966"/>
      <c r="CM82" s="966"/>
      <c r="CN82" s="966"/>
      <c r="CO82" s="966"/>
      <c r="CP82" s="966"/>
    </row>
    <row r="83" spans="1:94" ht="15.75" customHeight="1">
      <c r="A83" s="968"/>
      <c r="B83" s="1998" t="s">
        <v>1988</v>
      </c>
      <c r="C83" s="1999"/>
      <c r="D83" s="1999"/>
      <c r="E83" s="1999"/>
      <c r="F83" s="1999"/>
      <c r="G83" s="1999"/>
      <c r="H83" s="1999"/>
      <c r="I83" s="1999"/>
      <c r="J83" s="1999"/>
      <c r="K83" s="1999"/>
      <c r="L83" s="1999"/>
      <c r="M83" s="1999"/>
      <c r="N83" s="1999"/>
      <c r="O83" s="1999"/>
      <c r="P83" s="1999"/>
      <c r="Q83" s="1999"/>
      <c r="R83" s="1999"/>
      <c r="S83" s="1999"/>
      <c r="T83" s="1999"/>
      <c r="U83" s="1999"/>
      <c r="V83" s="1999"/>
      <c r="W83" s="1999"/>
      <c r="X83" s="1999"/>
      <c r="Y83" s="1999"/>
      <c r="Z83" s="1999"/>
      <c r="AA83" s="1999"/>
      <c r="AB83" s="1999"/>
      <c r="AC83" s="1999"/>
      <c r="AD83" s="1999"/>
      <c r="AE83" s="1999"/>
      <c r="AF83" s="1999"/>
      <c r="AG83" s="1999"/>
      <c r="AH83" s="2000"/>
      <c r="AI83" s="968"/>
      <c r="AJ83" s="2016" t="s">
        <v>1989</v>
      </c>
      <c r="AK83" s="2017"/>
      <c r="AL83" s="2017"/>
      <c r="AM83" s="2017"/>
      <c r="AN83" s="2017"/>
      <c r="AO83" s="2017"/>
      <c r="AP83" s="2017"/>
      <c r="AQ83" s="2017"/>
      <c r="AR83" s="2017"/>
      <c r="AS83" s="2017"/>
      <c r="AT83" s="2017"/>
      <c r="AU83" s="2017"/>
      <c r="AV83" s="2017"/>
      <c r="AW83" s="2017"/>
      <c r="AX83" s="2017"/>
      <c r="AY83" s="2020" t="s">
        <v>847</v>
      </c>
      <c r="AZ83" s="2020"/>
      <c r="BA83" s="2020"/>
      <c r="BB83" s="2021"/>
      <c r="BC83" s="968"/>
      <c r="BD83" s="968"/>
      <c r="BE83" s="971"/>
      <c r="CK83" s="966"/>
      <c r="CL83" s="966"/>
      <c r="CM83" s="966"/>
      <c r="CN83" s="966"/>
      <c r="CO83" s="966"/>
      <c r="CP83" s="966"/>
    </row>
    <row r="84" spans="1:94" ht="15.75" customHeight="1">
      <c r="A84" s="968"/>
      <c r="B84" s="1937"/>
      <c r="C84" s="1938"/>
      <c r="D84" s="1938"/>
      <c r="E84" s="1938"/>
      <c r="F84" s="1938"/>
      <c r="G84" s="1938"/>
      <c r="H84" s="1938"/>
      <c r="I84" s="1938" t="s">
        <v>1990</v>
      </c>
      <c r="J84" s="1938"/>
      <c r="K84" s="1938"/>
      <c r="L84" s="1938"/>
      <c r="M84" s="1938"/>
      <c r="N84" s="1938"/>
      <c r="O84" s="1938" t="s">
        <v>1991</v>
      </c>
      <c r="P84" s="1938"/>
      <c r="Q84" s="1938"/>
      <c r="R84" s="1938"/>
      <c r="S84" s="1938"/>
      <c r="T84" s="1938"/>
      <c r="U84" s="1938"/>
      <c r="V84" s="2024" t="s">
        <v>1992</v>
      </c>
      <c r="W84" s="2024"/>
      <c r="X84" s="2024"/>
      <c r="Y84" s="2024"/>
      <c r="Z84" s="2024"/>
      <c r="AA84" s="2024"/>
      <c r="AB84" s="2025" t="s">
        <v>1993</v>
      </c>
      <c r="AC84" s="2025"/>
      <c r="AD84" s="2025"/>
      <c r="AE84" s="2025"/>
      <c r="AF84" s="2025"/>
      <c r="AG84" s="2025"/>
      <c r="AH84" s="2026"/>
      <c r="AI84" s="968"/>
      <c r="AJ84" s="2018"/>
      <c r="AK84" s="2019"/>
      <c r="AL84" s="2019"/>
      <c r="AM84" s="2019"/>
      <c r="AN84" s="2019"/>
      <c r="AO84" s="2019"/>
      <c r="AP84" s="2019"/>
      <c r="AQ84" s="2019"/>
      <c r="AR84" s="2019"/>
      <c r="AS84" s="2019"/>
      <c r="AT84" s="2019"/>
      <c r="AU84" s="2019"/>
      <c r="AV84" s="2019"/>
      <c r="AW84" s="2019"/>
      <c r="AX84" s="2019"/>
      <c r="AY84" s="2022"/>
      <c r="AZ84" s="2022"/>
      <c r="BA84" s="2022"/>
      <c r="BB84" s="2023"/>
      <c r="BC84" s="968"/>
      <c r="BD84" s="968"/>
      <c r="BE84" s="971"/>
      <c r="CK84" s="966"/>
      <c r="CL84" s="966"/>
      <c r="CM84" s="966"/>
      <c r="CN84" s="966"/>
      <c r="CO84" s="966"/>
      <c r="CP84" s="966"/>
    </row>
    <row r="85" spans="1:94" ht="15.75" customHeight="1">
      <c r="A85" s="968"/>
      <c r="B85" s="1937"/>
      <c r="C85" s="1938"/>
      <c r="D85" s="1938"/>
      <c r="E85" s="1938"/>
      <c r="F85" s="1938"/>
      <c r="G85" s="1938"/>
      <c r="H85" s="1938"/>
      <c r="I85" s="1938"/>
      <c r="J85" s="1938"/>
      <c r="K85" s="1938"/>
      <c r="L85" s="1938"/>
      <c r="M85" s="1938"/>
      <c r="N85" s="1938"/>
      <c r="O85" s="1938"/>
      <c r="P85" s="1938"/>
      <c r="Q85" s="1938"/>
      <c r="R85" s="1938"/>
      <c r="S85" s="1938"/>
      <c r="T85" s="1938"/>
      <c r="U85" s="1938"/>
      <c r="V85" s="2024"/>
      <c r="W85" s="2024"/>
      <c r="X85" s="2024"/>
      <c r="Y85" s="2024"/>
      <c r="Z85" s="2024"/>
      <c r="AA85" s="2024"/>
      <c r="AB85" s="2025"/>
      <c r="AC85" s="2025"/>
      <c r="AD85" s="2025"/>
      <c r="AE85" s="2025"/>
      <c r="AF85" s="2025"/>
      <c r="AG85" s="2025"/>
      <c r="AH85" s="2026"/>
      <c r="AI85" s="968"/>
      <c r="AJ85" s="2018"/>
      <c r="AK85" s="2019"/>
      <c r="AL85" s="2019"/>
      <c r="AM85" s="2019"/>
      <c r="AN85" s="2019"/>
      <c r="AO85" s="2019"/>
      <c r="AP85" s="2019"/>
      <c r="AQ85" s="2019"/>
      <c r="AR85" s="2019"/>
      <c r="AS85" s="2019"/>
      <c r="AT85" s="2019"/>
      <c r="AU85" s="2019"/>
      <c r="AV85" s="2019"/>
      <c r="AW85" s="2019"/>
      <c r="AX85" s="2019"/>
      <c r="AY85" s="2022"/>
      <c r="AZ85" s="2022"/>
      <c r="BA85" s="2022"/>
      <c r="BB85" s="2023"/>
      <c r="BC85" s="968"/>
      <c r="BD85" s="968"/>
      <c r="BE85" s="971"/>
      <c r="CK85" s="966"/>
      <c r="CL85" s="966"/>
      <c r="CM85" s="966"/>
      <c r="CN85" s="966"/>
      <c r="CO85" s="966"/>
      <c r="CP85" s="966"/>
    </row>
    <row r="86" spans="1:94" ht="15.75" customHeight="1">
      <c r="A86" s="968"/>
      <c r="B86" s="1937" t="s">
        <v>1994</v>
      </c>
      <c r="C86" s="1938"/>
      <c r="D86" s="1938"/>
      <c r="E86" s="1938"/>
      <c r="F86" s="1938"/>
      <c r="G86" s="1938"/>
      <c r="H86" s="1938"/>
      <c r="I86" s="2014">
        <v>0</v>
      </c>
      <c r="J86" s="2014"/>
      <c r="K86" s="2014"/>
      <c r="L86" s="2014"/>
      <c r="M86" s="2014"/>
      <c r="N86" s="2014"/>
      <c r="O86" s="2014">
        <v>0</v>
      </c>
      <c r="P86" s="2014"/>
      <c r="Q86" s="2014"/>
      <c r="R86" s="2014"/>
      <c r="S86" s="2014"/>
      <c r="T86" s="2014"/>
      <c r="U86" s="2014"/>
      <c r="V86" s="2014">
        <v>0</v>
      </c>
      <c r="W86" s="2014"/>
      <c r="X86" s="2014"/>
      <c r="Y86" s="2014"/>
      <c r="Z86" s="2014"/>
      <c r="AA86" s="2014"/>
      <c r="AB86" s="2014">
        <v>0</v>
      </c>
      <c r="AC86" s="2014"/>
      <c r="AD86" s="2014"/>
      <c r="AE86" s="2014"/>
      <c r="AF86" s="2014"/>
      <c r="AG86" s="2014"/>
      <c r="AH86" s="2015"/>
      <c r="AI86" s="968"/>
      <c r="AJ86" s="2018"/>
      <c r="AK86" s="2019"/>
      <c r="AL86" s="2019"/>
      <c r="AM86" s="2019"/>
      <c r="AN86" s="2019"/>
      <c r="AO86" s="2019"/>
      <c r="AP86" s="2019"/>
      <c r="AQ86" s="2019"/>
      <c r="AR86" s="2019"/>
      <c r="AS86" s="2019"/>
      <c r="AT86" s="2019"/>
      <c r="AU86" s="2019"/>
      <c r="AV86" s="2019"/>
      <c r="AW86" s="2019"/>
      <c r="AX86" s="2019"/>
      <c r="AY86" s="2022"/>
      <c r="AZ86" s="2022"/>
      <c r="BA86" s="2022"/>
      <c r="BB86" s="2023"/>
      <c r="BC86" s="968"/>
      <c r="BD86" s="968"/>
      <c r="BE86" s="971"/>
      <c r="CK86" s="966"/>
      <c r="CL86" s="966"/>
      <c r="CM86" s="966"/>
      <c r="CN86" s="966"/>
      <c r="CO86" s="966"/>
      <c r="CP86" s="966"/>
    </row>
    <row r="87" spans="1:94" ht="15.75" customHeight="1">
      <c r="A87" s="968"/>
      <c r="B87" s="1937" t="s">
        <v>1995</v>
      </c>
      <c r="C87" s="1938"/>
      <c r="D87" s="1938"/>
      <c r="E87" s="1938"/>
      <c r="F87" s="1938"/>
      <c r="G87" s="1938"/>
      <c r="H87" s="1938"/>
      <c r="I87" s="2014">
        <v>0</v>
      </c>
      <c r="J87" s="2014"/>
      <c r="K87" s="2014"/>
      <c r="L87" s="2014"/>
      <c r="M87" s="2014"/>
      <c r="N87" s="2014"/>
      <c r="O87" s="2014">
        <v>0</v>
      </c>
      <c r="P87" s="2014"/>
      <c r="Q87" s="2014"/>
      <c r="R87" s="2014"/>
      <c r="S87" s="2014"/>
      <c r="T87" s="2014"/>
      <c r="U87" s="2014"/>
      <c r="V87" s="2014">
        <v>0</v>
      </c>
      <c r="W87" s="2014"/>
      <c r="X87" s="2014"/>
      <c r="Y87" s="2014"/>
      <c r="Z87" s="2014"/>
      <c r="AA87" s="2014"/>
      <c r="AB87" s="2014">
        <v>0</v>
      </c>
      <c r="AC87" s="2014"/>
      <c r="AD87" s="2014"/>
      <c r="AE87" s="2014"/>
      <c r="AF87" s="2014"/>
      <c r="AG87" s="2014"/>
      <c r="AH87" s="2015"/>
      <c r="AI87" s="968"/>
      <c r="AJ87" s="2003" t="s">
        <v>1996</v>
      </c>
      <c r="AK87" s="2004"/>
      <c r="AL87" s="2004"/>
      <c r="AM87" s="2004"/>
      <c r="AN87" s="2004"/>
      <c r="AO87" s="2004"/>
      <c r="AP87" s="2004"/>
      <c r="AQ87" s="2004"/>
      <c r="AR87" s="2004"/>
      <c r="AS87" s="2004"/>
      <c r="AT87" s="2004"/>
      <c r="AU87" s="2004"/>
      <c r="AV87" s="2004"/>
      <c r="AW87" s="2004"/>
      <c r="AX87" s="2004"/>
      <c r="AY87" s="2004"/>
      <c r="AZ87" s="2004"/>
      <c r="BA87" s="2004"/>
      <c r="BB87" s="2005"/>
      <c r="BC87" s="968"/>
      <c r="BD87" s="968"/>
      <c r="BE87" s="971"/>
      <c r="CK87" s="966"/>
      <c r="CL87" s="966"/>
      <c r="CM87" s="966"/>
      <c r="CN87" s="966"/>
      <c r="CO87" s="966"/>
      <c r="CP87" s="966"/>
    </row>
    <row r="88" spans="1:94" ht="15.75" customHeight="1" thickBot="1">
      <c r="A88" s="968"/>
      <c r="B88" s="1955" t="s">
        <v>1997</v>
      </c>
      <c r="C88" s="1956"/>
      <c r="D88" s="1956"/>
      <c r="E88" s="1956"/>
      <c r="F88" s="1956"/>
      <c r="G88" s="1956"/>
      <c r="H88" s="1956"/>
      <c r="I88" s="2029">
        <v>0</v>
      </c>
      <c r="J88" s="2029"/>
      <c r="K88" s="2029"/>
      <c r="L88" s="2029"/>
      <c r="M88" s="2029"/>
      <c r="N88" s="2029"/>
      <c r="O88" s="2029">
        <v>0</v>
      </c>
      <c r="P88" s="2029"/>
      <c r="Q88" s="2029"/>
      <c r="R88" s="2029"/>
      <c r="S88" s="2029"/>
      <c r="T88" s="2029"/>
      <c r="U88" s="2029"/>
      <c r="V88" s="2029">
        <v>0</v>
      </c>
      <c r="W88" s="2029"/>
      <c r="X88" s="2029"/>
      <c r="Y88" s="2029"/>
      <c r="Z88" s="2029"/>
      <c r="AA88" s="2029"/>
      <c r="AB88" s="2029">
        <v>0</v>
      </c>
      <c r="AC88" s="2029"/>
      <c r="AD88" s="2029"/>
      <c r="AE88" s="2029"/>
      <c r="AF88" s="2029"/>
      <c r="AG88" s="2029"/>
      <c r="AH88" s="2030"/>
      <c r="AI88" s="968"/>
      <c r="AJ88" s="2006"/>
      <c r="AK88" s="2007"/>
      <c r="AL88" s="2007"/>
      <c r="AM88" s="2007"/>
      <c r="AN88" s="2007"/>
      <c r="AO88" s="2007"/>
      <c r="AP88" s="2007"/>
      <c r="AQ88" s="2007"/>
      <c r="AR88" s="2007"/>
      <c r="AS88" s="2007"/>
      <c r="AT88" s="2007"/>
      <c r="AU88" s="2007"/>
      <c r="AV88" s="2007"/>
      <c r="AW88" s="2007"/>
      <c r="AX88" s="2007"/>
      <c r="AY88" s="2007"/>
      <c r="AZ88" s="2007"/>
      <c r="BA88" s="2007"/>
      <c r="BB88" s="2008"/>
      <c r="BC88" s="968"/>
      <c r="BD88" s="968"/>
      <c r="BE88" s="971"/>
      <c r="CK88" s="966"/>
      <c r="CL88" s="966"/>
      <c r="CM88" s="966"/>
      <c r="CN88" s="966"/>
      <c r="CO88" s="966"/>
      <c r="CP88" s="966"/>
    </row>
    <row r="89" spans="1:94" ht="15.75" customHeight="1">
      <c r="A89" s="968"/>
      <c r="B89" s="968"/>
      <c r="C89" s="968"/>
      <c r="D89" s="968"/>
      <c r="E89" s="968"/>
      <c r="F89" s="968"/>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c r="AL89" s="968"/>
      <c r="AM89" s="968"/>
      <c r="AN89" s="968"/>
      <c r="AO89" s="968"/>
      <c r="AP89" s="968"/>
      <c r="AQ89" s="968"/>
      <c r="AR89" s="968"/>
      <c r="AS89" s="968"/>
      <c r="AT89" s="968"/>
      <c r="AU89" s="968"/>
      <c r="AV89" s="968"/>
      <c r="AW89" s="968"/>
      <c r="AX89" s="968"/>
      <c r="AY89" s="968"/>
      <c r="AZ89" s="968"/>
      <c r="BA89" s="968"/>
      <c r="BB89" s="968"/>
      <c r="BC89" s="968"/>
      <c r="BD89" s="968"/>
      <c r="BE89" s="971"/>
      <c r="CM89" s="966"/>
      <c r="CN89" s="966"/>
      <c r="CO89" s="966"/>
      <c r="CP89" s="966"/>
    </row>
    <row r="90" spans="1:94" ht="15.75" customHeight="1" thickBot="1">
      <c r="A90" s="968"/>
      <c r="B90" s="968"/>
      <c r="C90" s="968"/>
      <c r="D90" s="968"/>
      <c r="E90" s="968"/>
      <c r="F90" s="968"/>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c r="AL90" s="968"/>
      <c r="AM90" s="968"/>
      <c r="AN90" s="968"/>
      <c r="AO90" s="968"/>
      <c r="AP90" s="968"/>
      <c r="AQ90" s="968"/>
      <c r="AR90" s="968"/>
      <c r="AS90" s="968"/>
      <c r="AT90" s="968"/>
      <c r="AU90" s="968"/>
      <c r="AV90" s="968"/>
      <c r="AW90" s="968"/>
      <c r="AX90" s="968"/>
      <c r="AY90" s="968"/>
      <c r="AZ90" s="968"/>
      <c r="BA90" s="968"/>
      <c r="BB90" s="968"/>
      <c r="BC90" s="968"/>
      <c r="BD90" s="968"/>
      <c r="BE90" s="971"/>
      <c r="CM90" s="966"/>
      <c r="CN90" s="966"/>
      <c r="CO90" s="966"/>
      <c r="CP90" s="966"/>
    </row>
    <row r="91" spans="1:94" ht="15.75" customHeight="1" thickBot="1">
      <c r="A91" s="968"/>
      <c r="B91" s="979" t="s">
        <v>1998</v>
      </c>
      <c r="C91" s="985"/>
      <c r="D91" s="986"/>
      <c r="E91" s="987"/>
      <c r="F91" s="987"/>
      <c r="G91" s="987"/>
      <c r="H91" s="987"/>
      <c r="I91" s="987"/>
      <c r="J91" s="987"/>
      <c r="K91" s="987"/>
      <c r="L91" s="987"/>
      <c r="M91" s="987"/>
      <c r="N91" s="987"/>
      <c r="O91" s="987"/>
      <c r="P91" s="987"/>
      <c r="Q91" s="987"/>
      <c r="R91" s="987"/>
      <c r="S91" s="987"/>
      <c r="T91" s="988"/>
      <c r="U91" s="968"/>
      <c r="V91" s="968"/>
      <c r="W91" s="968"/>
      <c r="X91" s="968"/>
      <c r="Y91" s="968"/>
      <c r="Z91" s="968"/>
      <c r="AA91" s="968"/>
      <c r="AB91" s="968"/>
      <c r="AC91" s="968"/>
      <c r="AD91" s="968"/>
      <c r="AE91" s="968"/>
      <c r="AF91" s="968"/>
      <c r="AG91" s="968"/>
      <c r="AH91" s="968"/>
      <c r="AI91" s="968"/>
      <c r="AJ91" s="968"/>
      <c r="AK91" s="968"/>
      <c r="AL91" s="968"/>
      <c r="AM91" s="968"/>
      <c r="AN91" s="968"/>
      <c r="AO91" s="968"/>
      <c r="AP91" s="968"/>
      <c r="AQ91" s="968"/>
      <c r="AR91" s="968"/>
      <c r="AS91" s="968"/>
      <c r="AT91" s="968"/>
      <c r="AU91" s="968"/>
      <c r="AV91" s="968"/>
      <c r="AW91" s="968"/>
      <c r="AX91" s="968"/>
      <c r="AY91" s="968"/>
      <c r="AZ91" s="968"/>
      <c r="BA91" s="968"/>
      <c r="BB91" s="968"/>
      <c r="BC91" s="968"/>
      <c r="BD91" s="968"/>
      <c r="BE91" s="971"/>
      <c r="BQ91" s="989"/>
      <c r="CM91" s="966"/>
      <c r="CN91" s="966"/>
      <c r="CO91" s="966"/>
      <c r="CP91" s="966"/>
    </row>
    <row r="92" spans="1:94" ht="15.75" customHeight="1">
      <c r="A92" s="968"/>
      <c r="B92" s="990" t="s">
        <v>1984</v>
      </c>
      <c r="C92" s="990"/>
      <c r="D92" s="991"/>
      <c r="E92" s="992"/>
      <c r="F92" s="1985"/>
      <c r="G92" s="1986"/>
      <c r="H92" s="1986"/>
      <c r="I92" s="1986"/>
      <c r="J92" s="1986"/>
      <c r="K92" s="1986"/>
      <c r="L92" s="1986"/>
      <c r="M92" s="1986"/>
      <c r="N92" s="1986"/>
      <c r="O92" s="1986"/>
      <c r="P92" s="1986"/>
      <c r="Q92" s="1986"/>
      <c r="R92" s="1986"/>
      <c r="S92" s="1986"/>
      <c r="T92" s="1987"/>
      <c r="U92" s="968"/>
      <c r="V92" s="968"/>
      <c r="W92" s="968"/>
      <c r="X92" s="968"/>
      <c r="Y92" s="968"/>
      <c r="Z92" s="968"/>
      <c r="AA92" s="968"/>
      <c r="AB92" s="968"/>
      <c r="AC92" s="968"/>
      <c r="AD92" s="968"/>
      <c r="AE92" s="968"/>
      <c r="AF92" s="968"/>
      <c r="AG92" s="968"/>
      <c r="AH92" s="968"/>
      <c r="AI92" s="968"/>
      <c r="AJ92" s="968"/>
      <c r="AK92" s="968"/>
      <c r="AL92" s="968"/>
      <c r="AM92" s="968"/>
      <c r="AN92" s="968"/>
      <c r="AO92" s="968"/>
      <c r="AP92" s="968"/>
      <c r="AQ92" s="968"/>
      <c r="AR92" s="968"/>
      <c r="AS92" s="968"/>
      <c r="AT92" s="968"/>
      <c r="AU92" s="968"/>
      <c r="AV92" s="968"/>
      <c r="AW92" s="968"/>
      <c r="AX92" s="968"/>
      <c r="AY92" s="968"/>
      <c r="AZ92" s="968"/>
      <c r="BA92" s="968"/>
      <c r="BB92" s="968"/>
      <c r="BC92" s="968"/>
      <c r="BD92" s="968"/>
      <c r="BE92" s="971"/>
      <c r="CM92" s="966"/>
      <c r="CN92" s="966"/>
      <c r="CO92" s="966"/>
      <c r="CP92" s="966"/>
    </row>
    <row r="93" spans="1:94" ht="15.75" customHeight="1" thickBot="1">
      <c r="A93" s="968"/>
      <c r="B93" s="1988" t="s">
        <v>1999</v>
      </c>
      <c r="C93" s="1989"/>
      <c r="D93" s="1989"/>
      <c r="E93" s="1989"/>
      <c r="F93" s="1989"/>
      <c r="G93" s="1989"/>
      <c r="H93" s="1989"/>
      <c r="I93" s="1989"/>
      <c r="J93" s="1989"/>
      <c r="K93" s="1989"/>
      <c r="L93" s="1989"/>
      <c r="M93" s="1989"/>
      <c r="N93" s="1989"/>
      <c r="O93" s="1989"/>
      <c r="P93" s="1989"/>
      <c r="Q93" s="2027"/>
      <c r="R93" s="1990" t="str">
        <f>IFERROR(INDEX(BR96:BR98,MATCH(F92,$BQ$96:$BQ$98,0))/SUM($BR$96:$BR$98),"")</f>
        <v/>
      </c>
      <c r="S93" s="1991"/>
      <c r="T93" s="1992"/>
      <c r="U93" s="968"/>
      <c r="V93" s="968"/>
      <c r="W93" s="968"/>
      <c r="X93" s="968"/>
      <c r="Y93" s="968"/>
      <c r="Z93" s="968"/>
      <c r="AA93" s="968"/>
      <c r="AB93" s="968"/>
      <c r="AC93" s="968"/>
      <c r="AD93" s="968"/>
      <c r="AE93" s="968"/>
      <c r="AF93" s="968"/>
      <c r="AG93" s="968"/>
      <c r="AH93" s="968"/>
      <c r="AI93" s="968"/>
      <c r="AJ93" s="968"/>
      <c r="AK93" s="968"/>
      <c r="AL93" s="968"/>
      <c r="AM93" s="968"/>
      <c r="AN93" s="968"/>
      <c r="AO93" s="968"/>
      <c r="AP93" s="968"/>
      <c r="AQ93" s="968"/>
      <c r="AR93" s="968"/>
      <c r="AS93" s="968"/>
      <c r="AT93" s="968"/>
      <c r="AU93" s="968"/>
      <c r="AV93" s="968"/>
      <c r="AW93" s="968"/>
      <c r="AX93" s="968"/>
      <c r="AY93" s="968"/>
      <c r="AZ93" s="968"/>
      <c r="BA93" s="968"/>
      <c r="BB93" s="968"/>
      <c r="BC93" s="968"/>
      <c r="BD93" s="968"/>
      <c r="BE93" s="971"/>
      <c r="CM93" s="966"/>
      <c r="CN93" s="966"/>
      <c r="CO93" s="966"/>
      <c r="CP93" s="966"/>
    </row>
    <row r="94" spans="1:94" ht="15.75" customHeight="1" thickBot="1">
      <c r="A94" s="968"/>
      <c r="B94" s="1993" t="s">
        <v>2000</v>
      </c>
      <c r="C94" s="1994"/>
      <c r="D94" s="1994"/>
      <c r="E94" s="1994"/>
      <c r="F94" s="1994"/>
      <c r="G94" s="1994"/>
      <c r="H94" s="1994"/>
      <c r="I94" s="1994"/>
      <c r="J94" s="1994"/>
      <c r="K94" s="1994"/>
      <c r="L94" s="1994"/>
      <c r="M94" s="1994"/>
      <c r="N94" s="1994"/>
      <c r="O94" s="1994"/>
      <c r="P94" s="1994"/>
      <c r="Q94" s="2028"/>
      <c r="R94" s="1995" t="s">
        <v>1987</v>
      </c>
      <c r="S94" s="1996"/>
      <c r="T94" s="1997"/>
      <c r="U94" s="968"/>
      <c r="V94" s="968"/>
      <c r="W94" s="968"/>
      <c r="X94" s="968"/>
      <c r="Y94" s="968"/>
      <c r="Z94" s="968"/>
      <c r="AA94" s="968"/>
      <c r="AB94" s="968"/>
      <c r="AC94" s="968"/>
      <c r="AD94" s="968"/>
      <c r="AE94" s="968"/>
      <c r="AF94" s="968"/>
      <c r="AG94" s="968"/>
      <c r="AH94" s="968"/>
      <c r="AI94" s="968"/>
      <c r="AJ94" s="968"/>
      <c r="AK94" s="968"/>
      <c r="AL94" s="968"/>
      <c r="AM94" s="968"/>
      <c r="AN94" s="968"/>
      <c r="AO94" s="968"/>
      <c r="AP94" s="968"/>
      <c r="AQ94" s="968"/>
      <c r="AR94" s="968"/>
      <c r="AS94" s="968"/>
      <c r="AT94" s="968"/>
      <c r="AU94" s="968"/>
      <c r="AV94" s="968"/>
      <c r="AW94" s="968"/>
      <c r="AX94" s="968"/>
      <c r="AY94" s="968"/>
      <c r="AZ94" s="968"/>
      <c r="BA94" s="968"/>
      <c r="BB94" s="968"/>
      <c r="BC94" s="968"/>
      <c r="BD94" s="968"/>
      <c r="BE94" s="971"/>
      <c r="CM94" s="966"/>
      <c r="CN94" s="966"/>
      <c r="CO94" s="966"/>
      <c r="CP94" s="966"/>
    </row>
    <row r="95" spans="1:94" ht="15.75" customHeight="1" thickBot="1">
      <c r="A95" s="968"/>
      <c r="B95" s="968"/>
      <c r="C95" s="968"/>
      <c r="D95" s="968"/>
      <c r="E95" s="968"/>
      <c r="F95" s="968"/>
      <c r="G95" s="968"/>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c r="AL95" s="968"/>
      <c r="AM95" s="968"/>
      <c r="AN95" s="968"/>
      <c r="AO95" s="968"/>
      <c r="AP95" s="968"/>
      <c r="AQ95" s="968"/>
      <c r="AR95" s="968"/>
      <c r="AS95" s="968"/>
      <c r="AT95" s="968"/>
      <c r="AU95" s="968"/>
      <c r="AV95" s="968"/>
      <c r="AW95" s="968"/>
      <c r="AX95" s="968"/>
      <c r="AY95" s="968"/>
      <c r="AZ95" s="968"/>
      <c r="BA95" s="968"/>
      <c r="BB95" s="968"/>
      <c r="BC95" s="968"/>
      <c r="BD95" s="968"/>
      <c r="BE95" s="971"/>
      <c r="CM95" s="966"/>
      <c r="CN95" s="966"/>
      <c r="CO95" s="966"/>
      <c r="CP95" s="966"/>
    </row>
    <row r="96" spans="1:94" ht="15.75" customHeight="1">
      <c r="A96" s="968"/>
      <c r="B96" s="1998" t="s">
        <v>2001</v>
      </c>
      <c r="C96" s="1999"/>
      <c r="D96" s="1999"/>
      <c r="E96" s="1999"/>
      <c r="F96" s="1999"/>
      <c r="G96" s="1999"/>
      <c r="H96" s="1999"/>
      <c r="I96" s="1999"/>
      <c r="J96" s="1999"/>
      <c r="K96" s="1999"/>
      <c r="L96" s="1999"/>
      <c r="M96" s="1999"/>
      <c r="N96" s="1999"/>
      <c r="O96" s="1999"/>
      <c r="P96" s="1999"/>
      <c r="Q96" s="1999"/>
      <c r="R96" s="1999"/>
      <c r="S96" s="1999"/>
      <c r="T96" s="1999"/>
      <c r="U96" s="1999"/>
      <c r="V96" s="1999"/>
      <c r="W96" s="1999"/>
      <c r="X96" s="1999"/>
      <c r="Y96" s="1999"/>
      <c r="Z96" s="1999"/>
      <c r="AA96" s="1999"/>
      <c r="AB96" s="1999"/>
      <c r="AC96" s="1999"/>
      <c r="AD96" s="1999"/>
      <c r="AE96" s="1999"/>
      <c r="AF96" s="1999"/>
      <c r="AG96" s="1999"/>
      <c r="AH96" s="2000"/>
      <c r="AI96" s="968"/>
      <c r="AJ96" s="2016" t="s">
        <v>2002</v>
      </c>
      <c r="AK96" s="2017"/>
      <c r="AL96" s="2017"/>
      <c r="AM96" s="2017"/>
      <c r="AN96" s="2017"/>
      <c r="AO96" s="2017"/>
      <c r="AP96" s="2017"/>
      <c r="AQ96" s="2017"/>
      <c r="AR96" s="2017"/>
      <c r="AS96" s="2017"/>
      <c r="AT96" s="2017"/>
      <c r="AU96" s="2017"/>
      <c r="AV96" s="2017"/>
      <c r="AW96" s="2017"/>
      <c r="AX96" s="2017"/>
      <c r="AY96" s="2020" t="s">
        <v>847</v>
      </c>
      <c r="AZ96" s="2020"/>
      <c r="BA96" s="2020"/>
      <c r="BB96" s="2021"/>
      <c r="BC96" s="968"/>
      <c r="BD96" s="968"/>
      <c r="BE96" s="971"/>
      <c r="BQ96" s="965" t="str">
        <f>Application!M243&amp;IF(TRIM(Application!AA249)&lt;&gt;""," ("&amp;Application!AA249&amp;")","")</f>
        <v>SHE Crescent Meadows LLC (Self-Help Enterprises)</v>
      </c>
      <c r="BR96" s="993">
        <f>Application!AH246</f>
        <v>5.0000000000000001E-3</v>
      </c>
      <c r="CM96" s="966"/>
      <c r="CN96" s="966"/>
      <c r="CO96" s="966"/>
      <c r="CP96" s="966"/>
    </row>
    <row r="97" spans="1:94" ht="15.75" customHeight="1">
      <c r="A97" s="968"/>
      <c r="B97" s="1937"/>
      <c r="C97" s="1938"/>
      <c r="D97" s="1938"/>
      <c r="E97" s="1938"/>
      <c r="F97" s="1938"/>
      <c r="G97" s="1938"/>
      <c r="H97" s="1938"/>
      <c r="I97" s="1938" t="s">
        <v>1990</v>
      </c>
      <c r="J97" s="1938"/>
      <c r="K97" s="1938"/>
      <c r="L97" s="1938"/>
      <c r="M97" s="1938"/>
      <c r="N97" s="1938"/>
      <c r="O97" s="1938" t="s">
        <v>1991</v>
      </c>
      <c r="P97" s="1938"/>
      <c r="Q97" s="1938"/>
      <c r="R97" s="1938"/>
      <c r="S97" s="1938"/>
      <c r="T97" s="1938"/>
      <c r="U97" s="1938"/>
      <c r="V97" s="2024" t="s">
        <v>1992</v>
      </c>
      <c r="W97" s="2024"/>
      <c r="X97" s="2024"/>
      <c r="Y97" s="2024"/>
      <c r="Z97" s="2024"/>
      <c r="AA97" s="2024"/>
      <c r="AB97" s="2025" t="s">
        <v>1993</v>
      </c>
      <c r="AC97" s="2025"/>
      <c r="AD97" s="2025"/>
      <c r="AE97" s="2025"/>
      <c r="AF97" s="2025"/>
      <c r="AG97" s="2025"/>
      <c r="AH97" s="2026"/>
      <c r="AI97" s="968"/>
      <c r="AJ97" s="2018"/>
      <c r="AK97" s="2019"/>
      <c r="AL97" s="2019"/>
      <c r="AM97" s="2019"/>
      <c r="AN97" s="2019"/>
      <c r="AO97" s="2019"/>
      <c r="AP97" s="2019"/>
      <c r="AQ97" s="2019"/>
      <c r="AR97" s="2019"/>
      <c r="AS97" s="2019"/>
      <c r="AT97" s="2019"/>
      <c r="AU97" s="2019"/>
      <c r="AV97" s="2019"/>
      <c r="AW97" s="2019"/>
      <c r="AX97" s="2019"/>
      <c r="AY97" s="2022"/>
      <c r="AZ97" s="2022"/>
      <c r="BA97" s="2022"/>
      <c r="BB97" s="2023"/>
      <c r="BC97" s="968"/>
      <c r="BD97" s="968"/>
      <c r="BE97" s="971"/>
      <c r="BQ97" s="965" t="str">
        <f>Application!M251&amp;IF(TRIM(Application!AA257)&lt;&gt;""," ("&amp;Application!AA257&amp;")","")</f>
        <v>Visalia Senior Housing 3, LLC (Visalia Senior Housing)</v>
      </c>
      <c r="BR97" s="993">
        <f>Application!AH254</f>
        <v>5.0000000000000001E-3</v>
      </c>
      <c r="CM97" s="966"/>
      <c r="CN97" s="966"/>
      <c r="CO97" s="966"/>
      <c r="CP97" s="966"/>
    </row>
    <row r="98" spans="1:94" ht="15.75" customHeight="1">
      <c r="A98" s="968"/>
      <c r="B98" s="1937"/>
      <c r="C98" s="1938"/>
      <c r="D98" s="1938"/>
      <c r="E98" s="1938"/>
      <c r="F98" s="1938"/>
      <c r="G98" s="1938"/>
      <c r="H98" s="1938"/>
      <c r="I98" s="1938"/>
      <c r="J98" s="1938"/>
      <c r="K98" s="1938"/>
      <c r="L98" s="1938"/>
      <c r="M98" s="1938"/>
      <c r="N98" s="1938"/>
      <c r="O98" s="1938"/>
      <c r="P98" s="1938"/>
      <c r="Q98" s="1938"/>
      <c r="R98" s="1938"/>
      <c r="S98" s="1938"/>
      <c r="T98" s="1938"/>
      <c r="U98" s="1938"/>
      <c r="V98" s="2024"/>
      <c r="W98" s="2024"/>
      <c r="X98" s="2024"/>
      <c r="Y98" s="2024"/>
      <c r="Z98" s="2024"/>
      <c r="AA98" s="2024"/>
      <c r="AB98" s="2025"/>
      <c r="AC98" s="2025"/>
      <c r="AD98" s="2025"/>
      <c r="AE98" s="2025"/>
      <c r="AF98" s="2025"/>
      <c r="AG98" s="2025"/>
      <c r="AH98" s="2026"/>
      <c r="AI98" s="968"/>
      <c r="AJ98" s="2018"/>
      <c r="AK98" s="2019"/>
      <c r="AL98" s="2019"/>
      <c r="AM98" s="2019"/>
      <c r="AN98" s="2019"/>
      <c r="AO98" s="2019"/>
      <c r="AP98" s="2019"/>
      <c r="AQ98" s="2019"/>
      <c r="AR98" s="2019"/>
      <c r="AS98" s="2019"/>
      <c r="AT98" s="2019"/>
      <c r="AU98" s="2019"/>
      <c r="AV98" s="2019"/>
      <c r="AW98" s="2019"/>
      <c r="AX98" s="2019"/>
      <c r="AY98" s="2022"/>
      <c r="AZ98" s="2022"/>
      <c r="BA98" s="2022"/>
      <c r="BB98" s="2023"/>
      <c r="BC98" s="968"/>
      <c r="BD98" s="968"/>
      <c r="BE98" s="971"/>
      <c r="BQ98" s="965" t="str">
        <f>Application!M259&amp;IF(TRIM(Application!AA265)&lt;&gt;""," ("&amp;Application!AA265&amp;")","")</f>
        <v/>
      </c>
      <c r="BR98" s="993">
        <f>Application!AH262</f>
        <v>0</v>
      </c>
      <c r="CM98" s="966"/>
      <c r="CN98" s="966"/>
      <c r="CO98" s="966"/>
      <c r="CP98" s="966"/>
    </row>
    <row r="99" spans="1:94" ht="15.75" customHeight="1">
      <c r="A99" s="968"/>
      <c r="B99" s="1937" t="s">
        <v>1994</v>
      </c>
      <c r="C99" s="1938"/>
      <c r="D99" s="1938"/>
      <c r="E99" s="1938"/>
      <c r="F99" s="1938"/>
      <c r="G99" s="1938"/>
      <c r="H99" s="1938"/>
      <c r="I99" s="2014">
        <v>0</v>
      </c>
      <c r="J99" s="2014"/>
      <c r="K99" s="2014"/>
      <c r="L99" s="2014"/>
      <c r="M99" s="2014"/>
      <c r="N99" s="2014"/>
      <c r="O99" s="2014">
        <v>0</v>
      </c>
      <c r="P99" s="2014"/>
      <c r="Q99" s="2014"/>
      <c r="R99" s="2014"/>
      <c r="S99" s="2014"/>
      <c r="T99" s="2014"/>
      <c r="U99" s="2014"/>
      <c r="V99" s="2014">
        <v>0</v>
      </c>
      <c r="W99" s="2014"/>
      <c r="X99" s="2014"/>
      <c r="Y99" s="2014"/>
      <c r="Z99" s="2014"/>
      <c r="AA99" s="2014"/>
      <c r="AB99" s="2014">
        <v>0</v>
      </c>
      <c r="AC99" s="2014"/>
      <c r="AD99" s="2014"/>
      <c r="AE99" s="2014"/>
      <c r="AF99" s="2014"/>
      <c r="AG99" s="2014"/>
      <c r="AH99" s="2015"/>
      <c r="AI99" s="968"/>
      <c r="AJ99" s="2018"/>
      <c r="AK99" s="2019"/>
      <c r="AL99" s="2019"/>
      <c r="AM99" s="2019"/>
      <c r="AN99" s="2019"/>
      <c r="AO99" s="2019"/>
      <c r="AP99" s="2019"/>
      <c r="AQ99" s="2019"/>
      <c r="AR99" s="2019"/>
      <c r="AS99" s="2019"/>
      <c r="AT99" s="2019"/>
      <c r="AU99" s="2019"/>
      <c r="AV99" s="2019"/>
      <c r="AW99" s="2019"/>
      <c r="AX99" s="2019"/>
      <c r="AY99" s="2022"/>
      <c r="AZ99" s="2022"/>
      <c r="BA99" s="2022"/>
      <c r="BB99" s="2023"/>
      <c r="BC99" s="968"/>
      <c r="BD99" s="968"/>
      <c r="BE99" s="971"/>
      <c r="CM99" s="966"/>
      <c r="CN99" s="966"/>
      <c r="CO99" s="966"/>
      <c r="CP99" s="966"/>
    </row>
    <row r="100" spans="1:94" ht="15.75" customHeight="1">
      <c r="A100" s="968"/>
      <c r="B100" s="1937" t="s">
        <v>1995</v>
      </c>
      <c r="C100" s="1938"/>
      <c r="D100" s="1938"/>
      <c r="E100" s="1938"/>
      <c r="F100" s="1938"/>
      <c r="G100" s="1938"/>
      <c r="H100" s="1938"/>
      <c r="I100" s="2014">
        <v>0</v>
      </c>
      <c r="J100" s="2014"/>
      <c r="K100" s="2014"/>
      <c r="L100" s="2014"/>
      <c r="M100" s="2014"/>
      <c r="N100" s="2014"/>
      <c r="O100" s="2014">
        <v>0</v>
      </c>
      <c r="P100" s="2014"/>
      <c r="Q100" s="2014"/>
      <c r="R100" s="2014"/>
      <c r="S100" s="2014"/>
      <c r="T100" s="2014"/>
      <c r="U100" s="2014"/>
      <c r="V100" s="2014">
        <v>0</v>
      </c>
      <c r="W100" s="2014"/>
      <c r="X100" s="2014"/>
      <c r="Y100" s="2014"/>
      <c r="Z100" s="2014"/>
      <c r="AA100" s="2014"/>
      <c r="AB100" s="2014">
        <v>0</v>
      </c>
      <c r="AC100" s="2014"/>
      <c r="AD100" s="2014"/>
      <c r="AE100" s="2014"/>
      <c r="AF100" s="2014"/>
      <c r="AG100" s="2014"/>
      <c r="AH100" s="2015"/>
      <c r="AI100" s="968"/>
      <c r="AJ100" s="2003" t="s">
        <v>1996</v>
      </c>
      <c r="AK100" s="2004"/>
      <c r="AL100" s="2004"/>
      <c r="AM100" s="2004"/>
      <c r="AN100" s="2004"/>
      <c r="AO100" s="2004"/>
      <c r="AP100" s="2004"/>
      <c r="AQ100" s="2004"/>
      <c r="AR100" s="2004"/>
      <c r="AS100" s="2004"/>
      <c r="AT100" s="2004"/>
      <c r="AU100" s="2004"/>
      <c r="AV100" s="2004"/>
      <c r="AW100" s="2004"/>
      <c r="AX100" s="2004"/>
      <c r="AY100" s="2004"/>
      <c r="AZ100" s="2004"/>
      <c r="BA100" s="2004"/>
      <c r="BB100" s="2005"/>
      <c r="BC100" s="968"/>
      <c r="BD100" s="968"/>
      <c r="BE100" s="971"/>
      <c r="CM100" s="966"/>
      <c r="CN100" s="966"/>
      <c r="CO100" s="966"/>
      <c r="CP100" s="966"/>
    </row>
    <row r="101" spans="1:94" ht="15.75" customHeight="1" thickBot="1">
      <c r="A101" s="968"/>
      <c r="B101" s="1955" t="s">
        <v>1997</v>
      </c>
      <c r="C101" s="1956"/>
      <c r="D101" s="1956"/>
      <c r="E101" s="1956"/>
      <c r="F101" s="1956"/>
      <c r="G101" s="1956"/>
      <c r="H101" s="1956"/>
      <c r="I101" s="2029">
        <v>0</v>
      </c>
      <c r="J101" s="2029"/>
      <c r="K101" s="2029"/>
      <c r="L101" s="2029"/>
      <c r="M101" s="2029"/>
      <c r="N101" s="2029"/>
      <c r="O101" s="2029">
        <v>0</v>
      </c>
      <c r="P101" s="2029"/>
      <c r="Q101" s="2029"/>
      <c r="R101" s="2029"/>
      <c r="S101" s="2029"/>
      <c r="T101" s="2029"/>
      <c r="U101" s="2029"/>
      <c r="V101" s="2029">
        <v>0</v>
      </c>
      <c r="W101" s="2029"/>
      <c r="X101" s="2029"/>
      <c r="Y101" s="2029"/>
      <c r="Z101" s="2029"/>
      <c r="AA101" s="2029"/>
      <c r="AB101" s="2029">
        <v>0</v>
      </c>
      <c r="AC101" s="2029"/>
      <c r="AD101" s="2029"/>
      <c r="AE101" s="2029"/>
      <c r="AF101" s="2029"/>
      <c r="AG101" s="2029"/>
      <c r="AH101" s="2030"/>
      <c r="AI101" s="968"/>
      <c r="AJ101" s="2006"/>
      <c r="AK101" s="2007"/>
      <c r="AL101" s="2007"/>
      <c r="AM101" s="2007"/>
      <c r="AN101" s="2007"/>
      <c r="AO101" s="2007"/>
      <c r="AP101" s="2007"/>
      <c r="AQ101" s="2007"/>
      <c r="AR101" s="2007"/>
      <c r="AS101" s="2007"/>
      <c r="AT101" s="2007"/>
      <c r="AU101" s="2007"/>
      <c r="AV101" s="2007"/>
      <c r="AW101" s="2007"/>
      <c r="AX101" s="2007"/>
      <c r="AY101" s="2007"/>
      <c r="AZ101" s="2007"/>
      <c r="BA101" s="2007"/>
      <c r="BB101" s="2008"/>
      <c r="BC101" s="968"/>
      <c r="BD101" s="968"/>
      <c r="BE101" s="971"/>
      <c r="CM101" s="966"/>
      <c r="CN101" s="966"/>
      <c r="CO101" s="966"/>
      <c r="CP101" s="966"/>
    </row>
    <row r="102" spans="1:94" ht="15.75" customHeight="1" thickBot="1">
      <c r="A102" s="968"/>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c r="AU102" s="968"/>
      <c r="AV102" s="968"/>
      <c r="AW102" s="968"/>
      <c r="AX102" s="968"/>
      <c r="AY102" s="968"/>
      <c r="AZ102" s="968"/>
      <c r="BA102" s="968"/>
      <c r="BB102" s="968"/>
      <c r="BC102" s="968"/>
      <c r="BD102" s="968"/>
      <c r="BE102" s="971"/>
      <c r="CM102" s="966"/>
      <c r="CN102" s="966"/>
      <c r="CO102" s="966"/>
      <c r="CP102" s="966"/>
    </row>
    <row r="103" spans="1:94" ht="15.75" customHeight="1" thickBot="1">
      <c r="A103" s="968"/>
      <c r="B103" s="986" t="s">
        <v>2003</v>
      </c>
      <c r="C103" s="980"/>
      <c r="D103" s="981"/>
      <c r="E103" s="981"/>
      <c r="F103" s="994"/>
      <c r="G103" s="994"/>
      <c r="H103" s="994"/>
      <c r="I103" s="994"/>
      <c r="J103" s="994"/>
      <c r="K103" s="994"/>
      <c r="L103" s="994"/>
      <c r="M103" s="994"/>
      <c r="N103" s="994"/>
      <c r="O103" s="995"/>
      <c r="P103" s="994"/>
      <c r="Q103" s="994"/>
      <c r="R103" s="995"/>
      <c r="S103" s="968" t="s">
        <v>254</v>
      </c>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c r="AU103" s="968"/>
      <c r="AV103" s="968"/>
      <c r="AW103" s="968"/>
      <c r="AX103" s="968"/>
      <c r="AY103" s="968"/>
      <c r="AZ103" s="968"/>
      <c r="BA103" s="968"/>
      <c r="BB103" s="968"/>
      <c r="BC103" s="968"/>
      <c r="BD103" s="968"/>
      <c r="BE103" s="971"/>
      <c r="CM103" s="966"/>
      <c r="CN103" s="966"/>
      <c r="CO103" s="966"/>
      <c r="CP103" s="966"/>
    </row>
    <row r="104" spans="1:94" ht="15.75" customHeight="1">
      <c r="A104" s="968"/>
      <c r="B104" s="990" t="s">
        <v>1984</v>
      </c>
      <c r="C104" s="990"/>
      <c r="D104" s="996"/>
      <c r="E104" s="997"/>
      <c r="F104" s="2031"/>
      <c r="G104" s="2032"/>
      <c r="H104" s="2032"/>
      <c r="I104" s="2032"/>
      <c r="J104" s="2032"/>
      <c r="K104" s="2032"/>
      <c r="L104" s="2032"/>
      <c r="M104" s="2032"/>
      <c r="N104" s="2032"/>
      <c r="O104" s="2032"/>
      <c r="P104" s="2032"/>
      <c r="Q104" s="2032"/>
      <c r="R104" s="2033"/>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c r="AU104" s="968"/>
      <c r="AV104" s="968"/>
      <c r="AW104" s="968"/>
      <c r="AX104" s="968"/>
      <c r="AY104" s="968"/>
      <c r="AZ104" s="968"/>
      <c r="BA104" s="968"/>
      <c r="BB104" s="968"/>
      <c r="BC104" s="968"/>
      <c r="BD104" s="968"/>
      <c r="BE104" s="971"/>
      <c r="CM104" s="966"/>
      <c r="CN104" s="966"/>
      <c r="CO104" s="966"/>
      <c r="CP104" s="966"/>
    </row>
    <row r="105" spans="1:94" ht="15.75" customHeight="1" thickBot="1">
      <c r="A105" s="968"/>
      <c r="B105" s="998" t="s">
        <v>2004</v>
      </c>
      <c r="C105" s="999"/>
      <c r="D105" s="1000"/>
      <c r="E105" s="1000"/>
      <c r="F105" s="1000"/>
      <c r="G105" s="1000"/>
      <c r="H105" s="1000"/>
      <c r="I105" s="1000"/>
      <c r="J105" s="1000"/>
      <c r="K105" s="1000"/>
      <c r="L105" s="1001"/>
      <c r="M105" s="1000"/>
      <c r="N105" s="1001"/>
      <c r="O105" s="1995" t="str">
        <f>IFERROR(INDEX(BR96:BR98,MATCH(F104,$BQ$96:$BQ$98,0))/SUM($BR$96:$BR$98),"")</f>
        <v/>
      </c>
      <c r="P105" s="1996"/>
      <c r="Q105" s="1996"/>
      <c r="R105" s="1997"/>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c r="AU105" s="968"/>
      <c r="AV105" s="968"/>
      <c r="AW105" s="968"/>
      <c r="AX105" s="968"/>
      <c r="AY105" s="968"/>
      <c r="AZ105" s="968"/>
      <c r="BA105" s="968"/>
      <c r="BB105" s="968"/>
      <c r="BC105" s="968"/>
      <c r="BD105" s="968"/>
      <c r="BE105" s="971"/>
      <c r="CM105" s="966"/>
      <c r="CN105" s="966"/>
      <c r="CO105" s="966"/>
      <c r="CP105" s="966"/>
    </row>
    <row r="106" spans="1:94" ht="15.75" customHeight="1" thickBot="1">
      <c r="A106" s="968"/>
      <c r="B106" s="968"/>
      <c r="C106" s="968"/>
      <c r="D106" s="968"/>
      <c r="E106" s="968"/>
      <c r="F106" s="968"/>
      <c r="G106" s="968"/>
      <c r="H106" s="968"/>
      <c r="I106" s="968"/>
      <c r="J106" s="968"/>
      <c r="K106" s="968"/>
      <c r="L106" s="968"/>
      <c r="M106" s="968"/>
      <c r="N106" s="968"/>
      <c r="O106" s="968"/>
      <c r="P106" s="1002"/>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c r="AL106" s="968"/>
      <c r="AM106" s="968"/>
      <c r="AN106" s="968"/>
      <c r="AO106" s="968"/>
      <c r="AP106" s="968"/>
      <c r="AQ106" s="968"/>
      <c r="AR106" s="968"/>
      <c r="AS106" s="968"/>
      <c r="AT106" s="968"/>
      <c r="AU106" s="968"/>
      <c r="AV106" s="968"/>
      <c r="AW106" s="968"/>
      <c r="AX106" s="968"/>
      <c r="AY106" s="968"/>
      <c r="AZ106" s="968"/>
      <c r="BA106" s="968"/>
      <c r="BB106" s="968"/>
      <c r="BC106" s="968"/>
      <c r="BD106" s="968"/>
      <c r="BE106" s="971"/>
      <c r="CM106" s="966"/>
      <c r="CN106" s="966"/>
      <c r="CO106" s="966"/>
      <c r="CP106" s="966"/>
    </row>
    <row r="107" spans="1:94" ht="15.75" customHeight="1">
      <c r="A107" s="968"/>
      <c r="B107" s="1983" t="s">
        <v>2005</v>
      </c>
      <c r="C107" s="1984"/>
      <c r="D107" s="1984"/>
      <c r="E107" s="1984"/>
      <c r="F107" s="1984"/>
      <c r="G107" s="1984"/>
      <c r="H107" s="1984"/>
      <c r="I107" s="1984"/>
      <c r="J107" s="1984"/>
      <c r="K107" s="1984"/>
      <c r="L107" s="1984"/>
      <c r="M107" s="1984"/>
      <c r="N107" s="1984"/>
      <c r="O107" s="1984"/>
      <c r="P107" s="1984"/>
      <c r="Q107" s="1984"/>
      <c r="R107" s="1984"/>
      <c r="S107" s="1984"/>
      <c r="T107" s="1984"/>
      <c r="U107" s="1984"/>
      <c r="V107" s="1984"/>
      <c r="W107" s="1984"/>
      <c r="X107" s="1984"/>
      <c r="Y107" s="1984"/>
      <c r="Z107" s="1984"/>
      <c r="AA107" s="1984"/>
      <c r="AB107" s="1984"/>
      <c r="AC107" s="1984"/>
      <c r="AD107" s="1984"/>
      <c r="AE107" s="1984"/>
      <c r="AF107" s="1984"/>
      <c r="AG107" s="1984"/>
      <c r="AH107" s="2034"/>
      <c r="AI107" s="968"/>
      <c r="AJ107" s="968"/>
      <c r="AK107" s="968"/>
      <c r="AL107" s="968"/>
      <c r="AM107" s="968"/>
      <c r="AN107" s="968"/>
      <c r="AO107" s="968"/>
      <c r="AP107" s="968"/>
      <c r="AQ107" s="968"/>
      <c r="AR107" s="968"/>
      <c r="AS107" s="968"/>
      <c r="AT107" s="968"/>
      <c r="AU107" s="968"/>
      <c r="AV107" s="968"/>
      <c r="AW107" s="968"/>
      <c r="AX107" s="968"/>
      <c r="AY107" s="968"/>
      <c r="AZ107" s="968"/>
      <c r="BA107" s="968"/>
      <c r="BB107" s="968"/>
      <c r="BC107" s="968"/>
      <c r="BD107" s="968"/>
      <c r="BE107" s="971"/>
      <c r="CM107" s="966"/>
      <c r="CN107" s="966"/>
      <c r="CO107" s="966"/>
      <c r="CP107" s="966"/>
    </row>
    <row r="108" spans="1:94" ht="16.5" customHeight="1">
      <c r="A108" s="968"/>
      <c r="B108" s="1937"/>
      <c r="C108" s="1938"/>
      <c r="D108" s="1938"/>
      <c r="E108" s="1938"/>
      <c r="F108" s="1938"/>
      <c r="G108" s="1938"/>
      <c r="H108" s="1938"/>
      <c r="I108" s="1938" t="s">
        <v>1990</v>
      </c>
      <c r="J108" s="1938"/>
      <c r="K108" s="1938"/>
      <c r="L108" s="1938"/>
      <c r="M108" s="1938"/>
      <c r="N108" s="1938"/>
      <c r="O108" s="1938" t="s">
        <v>1991</v>
      </c>
      <c r="P108" s="1938"/>
      <c r="Q108" s="1938"/>
      <c r="R108" s="1938"/>
      <c r="S108" s="1938"/>
      <c r="T108" s="1938"/>
      <c r="U108" s="1938"/>
      <c r="V108" s="2024" t="s">
        <v>1992</v>
      </c>
      <c r="W108" s="2024"/>
      <c r="X108" s="2024"/>
      <c r="Y108" s="2024"/>
      <c r="Z108" s="2024"/>
      <c r="AA108" s="2024"/>
      <c r="AB108" s="2025" t="s">
        <v>1993</v>
      </c>
      <c r="AC108" s="2025"/>
      <c r="AD108" s="2025"/>
      <c r="AE108" s="2025"/>
      <c r="AF108" s="2025"/>
      <c r="AG108" s="2025"/>
      <c r="AH108" s="2026"/>
      <c r="AI108" s="968"/>
      <c r="AJ108" s="968"/>
      <c r="AK108" s="968"/>
      <c r="AL108" s="968"/>
      <c r="AM108" s="968"/>
      <c r="AN108" s="968"/>
      <c r="AO108" s="968"/>
      <c r="AP108" s="968"/>
      <c r="AQ108" s="968"/>
      <c r="AR108" s="968"/>
      <c r="AS108" s="968"/>
      <c r="AT108" s="968"/>
      <c r="AU108" s="968"/>
      <c r="AV108" s="968"/>
      <c r="AW108" s="968"/>
      <c r="AX108" s="968"/>
      <c r="AY108" s="968"/>
      <c r="AZ108" s="968"/>
      <c r="BA108" s="968"/>
      <c r="BB108" s="968"/>
      <c r="BC108" s="968"/>
      <c r="BD108" s="968"/>
      <c r="BE108" s="971"/>
      <c r="CM108" s="966"/>
      <c r="CN108" s="966"/>
      <c r="CO108" s="966"/>
      <c r="CP108" s="966"/>
    </row>
    <row r="109" spans="1:94" ht="16.5" customHeight="1">
      <c r="A109" s="968"/>
      <c r="B109" s="1937"/>
      <c r="C109" s="1938"/>
      <c r="D109" s="1938"/>
      <c r="E109" s="1938"/>
      <c r="F109" s="1938"/>
      <c r="G109" s="1938"/>
      <c r="H109" s="1938"/>
      <c r="I109" s="1938"/>
      <c r="J109" s="1938"/>
      <c r="K109" s="1938"/>
      <c r="L109" s="1938"/>
      <c r="M109" s="1938"/>
      <c r="N109" s="1938"/>
      <c r="O109" s="1938"/>
      <c r="P109" s="1938"/>
      <c r="Q109" s="1938"/>
      <c r="R109" s="1938"/>
      <c r="S109" s="1938"/>
      <c r="T109" s="1938"/>
      <c r="U109" s="1938"/>
      <c r="V109" s="2024"/>
      <c r="W109" s="2024"/>
      <c r="X109" s="2024"/>
      <c r="Y109" s="2024"/>
      <c r="Z109" s="2024"/>
      <c r="AA109" s="2024"/>
      <c r="AB109" s="2025"/>
      <c r="AC109" s="2025"/>
      <c r="AD109" s="2025"/>
      <c r="AE109" s="2025"/>
      <c r="AF109" s="2025"/>
      <c r="AG109" s="2025"/>
      <c r="AH109" s="2026"/>
      <c r="AI109" s="968"/>
      <c r="AJ109" s="968"/>
      <c r="AK109" s="968"/>
      <c r="AL109" s="968"/>
      <c r="AM109" s="968"/>
      <c r="AN109" s="968"/>
      <c r="AO109" s="968"/>
      <c r="AP109" s="968"/>
      <c r="AQ109" s="968"/>
      <c r="AR109" s="968"/>
      <c r="AS109" s="968"/>
      <c r="AT109" s="968"/>
      <c r="AU109" s="968"/>
      <c r="AV109" s="968"/>
      <c r="AW109" s="968"/>
      <c r="AX109" s="968"/>
      <c r="AY109" s="968"/>
      <c r="AZ109" s="968"/>
      <c r="BA109" s="968"/>
      <c r="BB109" s="968"/>
      <c r="BC109" s="968"/>
      <c r="BD109" s="968"/>
      <c r="BE109" s="971"/>
      <c r="CM109" s="966"/>
      <c r="CN109" s="966"/>
      <c r="CO109" s="966"/>
      <c r="CP109" s="966"/>
    </row>
    <row r="110" spans="1:94" ht="15.75" customHeight="1">
      <c r="A110" s="968"/>
      <c r="B110" s="1937" t="s">
        <v>1994</v>
      </c>
      <c r="C110" s="1938"/>
      <c r="D110" s="1938"/>
      <c r="E110" s="1938"/>
      <c r="F110" s="1938"/>
      <c r="G110" s="1938"/>
      <c r="H110" s="1938"/>
      <c r="I110" s="2014">
        <v>0</v>
      </c>
      <c r="J110" s="2014"/>
      <c r="K110" s="2014"/>
      <c r="L110" s="2014"/>
      <c r="M110" s="2014"/>
      <c r="N110" s="2014"/>
      <c r="O110" s="2014">
        <v>0</v>
      </c>
      <c r="P110" s="2014"/>
      <c r="Q110" s="2014"/>
      <c r="R110" s="2014"/>
      <c r="S110" s="2014"/>
      <c r="T110" s="2014"/>
      <c r="U110" s="2014"/>
      <c r="V110" s="2014">
        <v>0</v>
      </c>
      <c r="W110" s="2014"/>
      <c r="X110" s="2014"/>
      <c r="Y110" s="2014"/>
      <c r="Z110" s="2014"/>
      <c r="AA110" s="2014"/>
      <c r="AB110" s="2014">
        <v>0</v>
      </c>
      <c r="AC110" s="2014"/>
      <c r="AD110" s="2014"/>
      <c r="AE110" s="2014"/>
      <c r="AF110" s="2014"/>
      <c r="AG110" s="2014"/>
      <c r="AH110" s="2015"/>
      <c r="AI110" s="968"/>
      <c r="AJ110" s="968"/>
      <c r="AK110" s="968"/>
      <c r="AL110" s="968"/>
      <c r="AM110" s="968"/>
      <c r="AN110" s="968"/>
      <c r="AO110" s="968"/>
      <c r="AP110" s="968"/>
      <c r="AQ110" s="968"/>
      <c r="AR110" s="968"/>
      <c r="AS110" s="968"/>
      <c r="AT110" s="968"/>
      <c r="AU110" s="968"/>
      <c r="AV110" s="968"/>
      <c r="AW110" s="968"/>
      <c r="AX110" s="968"/>
      <c r="AY110" s="968"/>
      <c r="AZ110" s="968"/>
      <c r="BA110" s="968"/>
      <c r="BB110" s="968"/>
      <c r="BC110" s="968"/>
      <c r="BD110" s="968"/>
      <c r="BE110" s="971"/>
      <c r="CM110" s="966"/>
      <c r="CN110" s="966"/>
      <c r="CO110" s="966"/>
      <c r="CP110" s="966"/>
    </row>
    <row r="111" spans="1:94" ht="15.75" customHeight="1">
      <c r="A111" s="968"/>
      <c r="B111" s="1937" t="s">
        <v>1995</v>
      </c>
      <c r="C111" s="1938"/>
      <c r="D111" s="1938"/>
      <c r="E111" s="1938"/>
      <c r="F111" s="1938"/>
      <c r="G111" s="1938"/>
      <c r="H111" s="1938"/>
      <c r="I111" s="2014">
        <v>0</v>
      </c>
      <c r="J111" s="2014"/>
      <c r="K111" s="2014"/>
      <c r="L111" s="2014"/>
      <c r="M111" s="2014"/>
      <c r="N111" s="2014"/>
      <c r="O111" s="2014">
        <v>0</v>
      </c>
      <c r="P111" s="2014"/>
      <c r="Q111" s="2014"/>
      <c r="R111" s="2014"/>
      <c r="S111" s="2014"/>
      <c r="T111" s="2014"/>
      <c r="U111" s="2014"/>
      <c r="V111" s="2014">
        <v>0</v>
      </c>
      <c r="W111" s="2014"/>
      <c r="X111" s="2014"/>
      <c r="Y111" s="2014"/>
      <c r="Z111" s="2014"/>
      <c r="AA111" s="2014"/>
      <c r="AB111" s="2014">
        <v>0</v>
      </c>
      <c r="AC111" s="2014"/>
      <c r="AD111" s="2014"/>
      <c r="AE111" s="2014"/>
      <c r="AF111" s="2014"/>
      <c r="AG111" s="2014"/>
      <c r="AH111" s="2015"/>
      <c r="AI111" s="968"/>
      <c r="AJ111" s="968"/>
      <c r="AK111" s="968"/>
      <c r="AL111" s="968"/>
      <c r="AM111" s="968"/>
      <c r="AN111" s="968"/>
      <c r="AO111" s="968"/>
      <c r="AP111" s="968"/>
      <c r="AQ111" s="968"/>
      <c r="AR111" s="968"/>
      <c r="AS111" s="968"/>
      <c r="AT111" s="968"/>
      <c r="AU111" s="968"/>
      <c r="AV111" s="968"/>
      <c r="AW111" s="968"/>
      <c r="AX111" s="968"/>
      <c r="AY111" s="968"/>
      <c r="AZ111" s="968"/>
      <c r="BA111" s="968"/>
      <c r="BB111" s="968"/>
      <c r="BC111" s="968"/>
      <c r="BD111" s="968"/>
      <c r="BE111" s="971"/>
      <c r="CM111" s="966"/>
      <c r="CN111" s="966"/>
      <c r="CO111" s="966"/>
      <c r="CP111" s="966"/>
    </row>
    <row r="112" spans="1:94" ht="15.75" customHeight="1" thickBot="1">
      <c r="A112" s="968"/>
      <c r="B112" s="1955" t="s">
        <v>1997</v>
      </c>
      <c r="C112" s="1956"/>
      <c r="D112" s="1956"/>
      <c r="E112" s="1956"/>
      <c r="F112" s="1956"/>
      <c r="G112" s="1956"/>
      <c r="H112" s="1956"/>
      <c r="I112" s="2029">
        <v>0</v>
      </c>
      <c r="J112" s="2029"/>
      <c r="K112" s="2029"/>
      <c r="L112" s="2029"/>
      <c r="M112" s="2029"/>
      <c r="N112" s="2029"/>
      <c r="O112" s="2029">
        <v>0</v>
      </c>
      <c r="P112" s="2029"/>
      <c r="Q112" s="2029"/>
      <c r="R112" s="2029"/>
      <c r="S112" s="2029"/>
      <c r="T112" s="2029"/>
      <c r="U112" s="2029"/>
      <c r="V112" s="2029">
        <v>0</v>
      </c>
      <c r="W112" s="2029"/>
      <c r="X112" s="2029"/>
      <c r="Y112" s="2029"/>
      <c r="Z112" s="2029"/>
      <c r="AA112" s="2029"/>
      <c r="AB112" s="2029">
        <v>0</v>
      </c>
      <c r="AC112" s="2029"/>
      <c r="AD112" s="2029"/>
      <c r="AE112" s="2029"/>
      <c r="AF112" s="2029"/>
      <c r="AG112" s="2029"/>
      <c r="AH112" s="2030"/>
      <c r="AI112" s="968"/>
      <c r="AJ112" s="968"/>
      <c r="AK112" s="968"/>
      <c r="AL112" s="968"/>
      <c r="AM112" s="968"/>
      <c r="AN112" s="968"/>
      <c r="AO112" s="968"/>
      <c r="AP112" s="968"/>
      <c r="AQ112" s="968"/>
      <c r="AR112" s="968"/>
      <c r="AS112" s="968"/>
      <c r="AT112" s="968"/>
      <c r="AU112" s="968"/>
      <c r="AV112" s="968"/>
      <c r="AW112" s="968"/>
      <c r="AX112" s="968"/>
      <c r="AY112" s="968"/>
      <c r="AZ112" s="968"/>
      <c r="BA112" s="968"/>
      <c r="BB112" s="968"/>
      <c r="BC112" s="968"/>
      <c r="BD112" s="968"/>
      <c r="BE112" s="971"/>
      <c r="CM112" s="966"/>
      <c r="CN112" s="966"/>
      <c r="CO112" s="966"/>
      <c r="CP112" s="966"/>
    </row>
    <row r="113" spans="1:57" ht="15.75" customHeight="1" thickBot="1">
      <c r="A113" s="968"/>
      <c r="B113" s="968"/>
      <c r="C113" s="968"/>
      <c r="D113" s="968"/>
      <c r="E113" s="968"/>
      <c r="F113" s="968"/>
      <c r="G113" s="968"/>
      <c r="H113" s="968"/>
      <c r="I113" s="968"/>
      <c r="J113" s="968"/>
      <c r="K113" s="968"/>
      <c r="L113" s="968"/>
      <c r="M113" s="968"/>
      <c r="N113" s="968"/>
      <c r="O113" s="968"/>
      <c r="P113" s="968"/>
      <c r="Q113" s="968"/>
      <c r="R113" s="968"/>
      <c r="S113" s="968"/>
      <c r="T113" s="968"/>
      <c r="U113" s="968" t="s">
        <v>254</v>
      </c>
      <c r="V113" s="968"/>
      <c r="W113" s="968"/>
      <c r="X113" s="968"/>
      <c r="Y113" s="968"/>
      <c r="Z113" s="968"/>
      <c r="AA113" s="968"/>
      <c r="AB113" s="968"/>
      <c r="AC113" s="968"/>
      <c r="AD113" s="968"/>
      <c r="AE113" s="968"/>
      <c r="AF113" s="968"/>
      <c r="AG113" s="968"/>
      <c r="AH113" s="968"/>
      <c r="AI113" s="968"/>
      <c r="AJ113" s="968"/>
      <c r="AK113" s="968"/>
      <c r="AL113" s="968"/>
      <c r="AM113" s="968"/>
      <c r="AN113" s="968"/>
      <c r="AO113" s="968"/>
      <c r="AP113" s="968"/>
      <c r="AQ113" s="968"/>
      <c r="AR113" s="968"/>
      <c r="AS113" s="968"/>
      <c r="AT113" s="968"/>
      <c r="AU113" s="968"/>
      <c r="AV113" s="968"/>
      <c r="AW113" s="968"/>
      <c r="AX113" s="968"/>
      <c r="AY113" s="968"/>
      <c r="AZ113" s="968"/>
      <c r="BA113" s="968"/>
      <c r="BB113" s="968"/>
      <c r="BC113" s="968"/>
      <c r="BD113" s="968"/>
      <c r="BE113" s="971"/>
    </row>
    <row r="114" spans="1:57" ht="15.75" customHeight="1" thickBot="1">
      <c r="A114" s="968"/>
      <c r="B114" s="979" t="s">
        <v>2006</v>
      </c>
      <c r="C114" s="985"/>
      <c r="D114" s="985"/>
      <c r="E114" s="985"/>
      <c r="F114" s="985"/>
      <c r="G114" s="985"/>
      <c r="H114" s="985"/>
      <c r="I114" s="985"/>
      <c r="J114" s="985"/>
      <c r="K114" s="985"/>
      <c r="L114" s="985"/>
      <c r="M114" s="985"/>
      <c r="N114" s="985"/>
      <c r="O114" s="985"/>
      <c r="P114" s="985"/>
      <c r="Q114" s="985"/>
      <c r="R114" s="1003"/>
      <c r="S114" s="968"/>
      <c r="T114" s="968"/>
      <c r="U114" s="968"/>
      <c r="V114" s="968"/>
      <c r="W114" s="968"/>
      <c r="X114" s="968"/>
      <c r="Y114" s="968"/>
      <c r="Z114" s="968"/>
      <c r="AA114" s="968"/>
      <c r="AB114" s="968"/>
      <c r="AC114" s="968"/>
      <c r="AD114" s="968"/>
      <c r="AE114" s="968"/>
      <c r="AF114" s="968"/>
      <c r="AG114" s="968"/>
      <c r="AH114" s="968"/>
      <c r="AI114" s="968"/>
      <c r="AJ114" s="968"/>
      <c r="AK114" s="968"/>
      <c r="AL114" s="968"/>
      <c r="AM114" s="968"/>
      <c r="AN114" s="968"/>
      <c r="AO114" s="968"/>
      <c r="AP114" s="968"/>
      <c r="AQ114" s="968"/>
      <c r="AR114" s="968"/>
      <c r="AS114" s="968"/>
      <c r="AT114" s="968"/>
      <c r="AU114" s="968"/>
      <c r="AV114" s="968"/>
      <c r="AW114" s="968"/>
      <c r="AX114" s="968"/>
      <c r="AY114" s="968"/>
      <c r="AZ114" s="968"/>
      <c r="BA114" s="968"/>
      <c r="BB114" s="968"/>
      <c r="BC114" s="968"/>
      <c r="BD114" s="968"/>
      <c r="BE114" s="971"/>
    </row>
    <row r="115" spans="1:57" ht="15.75" customHeight="1">
      <c r="A115" s="968"/>
      <c r="B115" s="990" t="s">
        <v>1984</v>
      </c>
      <c r="C115" s="990"/>
      <c r="D115" s="996"/>
      <c r="E115" s="997"/>
      <c r="F115" s="2035"/>
      <c r="G115" s="2036"/>
      <c r="H115" s="2036"/>
      <c r="I115" s="2036"/>
      <c r="J115" s="2036"/>
      <c r="K115" s="2036"/>
      <c r="L115" s="2036"/>
      <c r="M115" s="2036"/>
      <c r="N115" s="2036"/>
      <c r="O115" s="2036"/>
      <c r="P115" s="2036"/>
      <c r="Q115" s="2036"/>
      <c r="R115" s="2037"/>
      <c r="S115" s="968"/>
      <c r="T115" s="968"/>
      <c r="U115" s="968"/>
      <c r="V115" s="968"/>
      <c r="W115" s="968"/>
      <c r="X115" s="968"/>
      <c r="Y115" s="968"/>
      <c r="Z115" s="968"/>
      <c r="AA115" s="968"/>
      <c r="AB115" s="968"/>
      <c r="AC115" s="968"/>
      <c r="AD115" s="968"/>
      <c r="AE115" s="968"/>
      <c r="AF115" s="968"/>
      <c r="AG115" s="968"/>
      <c r="AH115" s="968"/>
      <c r="AI115" s="968"/>
      <c r="AJ115" s="968"/>
      <c r="AK115" s="968"/>
      <c r="AL115" s="968"/>
      <c r="AM115" s="968"/>
      <c r="AN115" s="968"/>
      <c r="AO115" s="968"/>
      <c r="AP115" s="968"/>
      <c r="AQ115" s="968"/>
      <c r="AR115" s="968"/>
      <c r="AS115" s="968"/>
      <c r="AT115" s="968"/>
      <c r="AU115" s="968"/>
      <c r="AV115" s="968"/>
      <c r="AW115" s="968"/>
      <c r="AX115" s="968"/>
      <c r="AY115" s="968"/>
      <c r="AZ115" s="968"/>
      <c r="BA115" s="968"/>
      <c r="BB115" s="968"/>
      <c r="BC115" s="968"/>
      <c r="BD115" s="968"/>
      <c r="BE115" s="971"/>
    </row>
    <row r="116" spans="1:57" ht="15.75" customHeight="1" thickBot="1">
      <c r="A116" s="968"/>
      <c r="B116" s="968"/>
      <c r="C116" s="968"/>
      <c r="D116" s="968"/>
      <c r="E116" s="968"/>
      <c r="F116" s="968"/>
      <c r="G116" s="968"/>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c r="AG116" s="968"/>
      <c r="AH116" s="968"/>
      <c r="AI116" s="968"/>
      <c r="AJ116" s="968"/>
      <c r="AK116" s="968"/>
      <c r="AL116" s="968"/>
      <c r="AM116" s="968"/>
      <c r="AN116" s="968"/>
      <c r="AO116" s="968"/>
      <c r="AP116" s="968"/>
      <c r="AQ116" s="968"/>
      <c r="AR116" s="968"/>
      <c r="AS116" s="968"/>
      <c r="AT116" s="968"/>
      <c r="AU116" s="968"/>
      <c r="AV116" s="968"/>
      <c r="AW116" s="968"/>
      <c r="AX116" s="968"/>
      <c r="AY116" s="968"/>
      <c r="AZ116" s="968"/>
      <c r="BA116" s="968"/>
      <c r="BB116" s="968"/>
      <c r="BC116" s="968"/>
      <c r="BD116" s="968"/>
      <c r="BE116" s="971"/>
    </row>
    <row r="117" spans="1:57" ht="15.75" customHeight="1">
      <c r="A117" s="968"/>
      <c r="B117" s="2046" t="s">
        <v>2007</v>
      </c>
      <c r="C117" s="2047"/>
      <c r="D117" s="2047"/>
      <c r="E117" s="2047"/>
      <c r="F117" s="2047"/>
      <c r="G117" s="2047"/>
      <c r="H117" s="2047"/>
      <c r="I117" s="2047"/>
      <c r="J117" s="2047"/>
      <c r="K117" s="2047"/>
      <c r="L117" s="2047"/>
      <c r="M117" s="2047"/>
      <c r="N117" s="2047"/>
      <c r="O117" s="2047"/>
      <c r="P117" s="2047"/>
      <c r="Q117" s="2047"/>
      <c r="R117" s="2047"/>
      <c r="S117" s="2047"/>
      <c r="T117" s="2047"/>
      <c r="U117" s="2050" t="s">
        <v>847</v>
      </c>
      <c r="V117" s="2050"/>
      <c r="W117" s="2050"/>
      <c r="X117" s="2051"/>
      <c r="Y117" s="968"/>
      <c r="Z117" s="968"/>
      <c r="AA117" s="968"/>
      <c r="AB117" s="968"/>
      <c r="AC117" s="968"/>
      <c r="AD117" s="968"/>
      <c r="AE117" s="968"/>
      <c r="AF117" s="968"/>
      <c r="AG117" s="968"/>
      <c r="AH117" s="968"/>
      <c r="AI117" s="968"/>
      <c r="AJ117" s="968"/>
      <c r="AK117" s="968"/>
      <c r="AL117" s="968"/>
      <c r="AM117" s="968"/>
      <c r="AN117" s="968"/>
      <c r="AO117" s="968"/>
      <c r="AP117" s="968"/>
      <c r="AQ117" s="968"/>
      <c r="AR117" s="968"/>
      <c r="AS117" s="968"/>
      <c r="AT117" s="968"/>
      <c r="AU117" s="968"/>
      <c r="AV117" s="968"/>
      <c r="AW117" s="968"/>
      <c r="AX117" s="968"/>
      <c r="AY117" s="968"/>
      <c r="AZ117" s="968"/>
      <c r="BA117" s="968"/>
      <c r="BB117" s="968"/>
      <c r="BC117" s="968"/>
      <c r="BD117" s="968"/>
      <c r="BE117" s="971"/>
    </row>
    <row r="118" spans="1:57" ht="15.75" customHeight="1">
      <c r="A118" s="968"/>
      <c r="B118" s="2048"/>
      <c r="C118" s="2049"/>
      <c r="D118" s="2049"/>
      <c r="E118" s="2049"/>
      <c r="F118" s="2049"/>
      <c r="G118" s="2049"/>
      <c r="H118" s="2049"/>
      <c r="I118" s="2049"/>
      <c r="J118" s="2049"/>
      <c r="K118" s="2049"/>
      <c r="L118" s="2049"/>
      <c r="M118" s="2049"/>
      <c r="N118" s="2049"/>
      <c r="O118" s="2049"/>
      <c r="P118" s="2049"/>
      <c r="Q118" s="2049"/>
      <c r="R118" s="2049"/>
      <c r="S118" s="2049"/>
      <c r="T118" s="2049"/>
      <c r="U118" s="2052"/>
      <c r="V118" s="2052"/>
      <c r="W118" s="2052"/>
      <c r="X118" s="2053"/>
      <c r="Y118" s="968"/>
      <c r="Z118" s="968"/>
      <c r="AA118" s="968"/>
      <c r="AB118" s="968"/>
      <c r="AC118" s="968"/>
      <c r="AD118" s="968"/>
      <c r="AE118" s="968"/>
      <c r="AF118" s="968"/>
      <c r="AG118" s="968"/>
      <c r="AH118" s="968"/>
      <c r="AI118" s="968"/>
      <c r="AJ118" s="968"/>
      <c r="AK118" s="968"/>
      <c r="AL118" s="968"/>
      <c r="AM118" s="968"/>
      <c r="AN118" s="968"/>
      <c r="AO118" s="968"/>
      <c r="AP118" s="968"/>
      <c r="AQ118" s="968"/>
      <c r="AR118" s="968"/>
      <c r="AS118" s="968"/>
      <c r="AT118" s="968"/>
      <c r="AU118" s="968"/>
      <c r="AV118" s="968"/>
      <c r="AW118" s="968"/>
      <c r="AX118" s="968"/>
      <c r="AY118" s="968"/>
      <c r="AZ118" s="968"/>
      <c r="BA118" s="968"/>
      <c r="BB118" s="968"/>
      <c r="BC118" s="968"/>
      <c r="BD118" s="968"/>
      <c r="BE118" s="971"/>
    </row>
    <row r="119" spans="1:57" ht="15.75" customHeight="1">
      <c r="A119" s="968"/>
      <c r="B119" s="2048"/>
      <c r="C119" s="2049"/>
      <c r="D119" s="2049"/>
      <c r="E119" s="2049"/>
      <c r="F119" s="2049"/>
      <c r="G119" s="2049"/>
      <c r="H119" s="2049"/>
      <c r="I119" s="2049"/>
      <c r="J119" s="2049"/>
      <c r="K119" s="2049"/>
      <c r="L119" s="2049"/>
      <c r="M119" s="2049"/>
      <c r="N119" s="2049"/>
      <c r="O119" s="2049"/>
      <c r="P119" s="2049"/>
      <c r="Q119" s="2049"/>
      <c r="R119" s="2049"/>
      <c r="S119" s="2049"/>
      <c r="T119" s="2049"/>
      <c r="U119" s="2052"/>
      <c r="V119" s="2052"/>
      <c r="W119" s="2052"/>
      <c r="X119" s="2053"/>
      <c r="Y119" s="968"/>
      <c r="Z119" s="968"/>
      <c r="AA119" s="968"/>
      <c r="AB119" s="968"/>
      <c r="AC119" s="968"/>
      <c r="AD119" s="968"/>
      <c r="AE119" s="968"/>
      <c r="AF119" s="968"/>
      <c r="AG119" s="968"/>
      <c r="AH119" s="968"/>
      <c r="AI119" s="968"/>
      <c r="AJ119" s="968"/>
      <c r="AK119" s="968"/>
      <c r="AL119" s="968"/>
      <c r="AM119" s="968"/>
      <c r="AN119" s="968"/>
      <c r="AO119" s="968"/>
      <c r="AP119" s="968"/>
      <c r="AQ119" s="968"/>
      <c r="AR119" s="968"/>
      <c r="AS119" s="968"/>
      <c r="AT119" s="968"/>
      <c r="AU119" s="968"/>
      <c r="AV119" s="968"/>
      <c r="AW119" s="968"/>
      <c r="AX119" s="968"/>
      <c r="AY119" s="968"/>
      <c r="AZ119" s="968"/>
      <c r="BA119" s="968"/>
      <c r="BB119" s="968"/>
      <c r="BC119" s="968"/>
      <c r="BD119" s="968"/>
      <c r="BE119" s="971"/>
    </row>
    <row r="120" spans="1:57" ht="15.75" customHeight="1">
      <c r="A120" s="968"/>
      <c r="B120" s="2048"/>
      <c r="C120" s="2049"/>
      <c r="D120" s="2049"/>
      <c r="E120" s="2049"/>
      <c r="F120" s="2049"/>
      <c r="G120" s="2049"/>
      <c r="H120" s="2049"/>
      <c r="I120" s="2049"/>
      <c r="J120" s="2049"/>
      <c r="K120" s="2049"/>
      <c r="L120" s="2049"/>
      <c r="M120" s="2049"/>
      <c r="N120" s="2049"/>
      <c r="O120" s="2049"/>
      <c r="P120" s="2049"/>
      <c r="Q120" s="2049"/>
      <c r="R120" s="2049"/>
      <c r="S120" s="2049"/>
      <c r="T120" s="2049"/>
      <c r="U120" s="2052"/>
      <c r="V120" s="2052"/>
      <c r="W120" s="2052"/>
      <c r="X120" s="2053"/>
      <c r="Y120" s="968"/>
      <c r="Z120" s="968"/>
      <c r="AA120" s="968"/>
      <c r="AB120" s="968"/>
      <c r="AC120" s="968"/>
      <c r="AD120" s="968"/>
      <c r="AE120" s="968"/>
      <c r="AF120" s="968"/>
      <c r="AG120" s="968"/>
      <c r="AH120" s="968"/>
      <c r="AI120" s="968"/>
      <c r="AJ120" s="968"/>
      <c r="AK120" s="968"/>
      <c r="AL120" s="968"/>
      <c r="AM120" s="968"/>
      <c r="AN120" s="968"/>
      <c r="AO120" s="968"/>
      <c r="AP120" s="968"/>
      <c r="AQ120" s="968"/>
      <c r="AR120" s="968"/>
      <c r="AS120" s="968"/>
      <c r="AT120" s="968"/>
      <c r="AU120" s="968"/>
      <c r="AV120" s="968"/>
      <c r="AW120" s="968"/>
      <c r="AX120" s="968"/>
      <c r="AY120" s="968"/>
      <c r="AZ120" s="968"/>
      <c r="BA120" s="968"/>
      <c r="BB120" s="968"/>
      <c r="BC120" s="968"/>
      <c r="BD120" s="968"/>
      <c r="BE120" s="971"/>
    </row>
    <row r="121" spans="1:57" ht="15.75" customHeight="1">
      <c r="A121" s="968"/>
      <c r="B121" s="2054" t="s">
        <v>2007</v>
      </c>
      <c r="C121" s="2055"/>
      <c r="D121" s="2055"/>
      <c r="E121" s="2055"/>
      <c r="F121" s="2055"/>
      <c r="G121" s="2055"/>
      <c r="H121" s="2055"/>
      <c r="I121" s="2055"/>
      <c r="J121" s="2055"/>
      <c r="K121" s="2055"/>
      <c r="L121" s="2055"/>
      <c r="M121" s="2055"/>
      <c r="N121" s="2055"/>
      <c r="O121" s="2055"/>
      <c r="P121" s="2055"/>
      <c r="Q121" s="2055"/>
      <c r="R121" s="2055"/>
      <c r="S121" s="2055"/>
      <c r="T121" s="2055"/>
      <c r="U121" s="2058" t="s">
        <v>847</v>
      </c>
      <c r="V121" s="2058"/>
      <c r="W121" s="2058"/>
      <c r="X121" s="2059"/>
      <c r="Y121" s="968"/>
      <c r="Z121" s="968"/>
      <c r="AA121" s="968"/>
      <c r="AB121" s="968"/>
      <c r="AC121" s="968"/>
      <c r="AD121" s="968"/>
      <c r="AE121" s="968"/>
      <c r="AF121" s="968"/>
      <c r="AG121" s="968"/>
      <c r="AH121" s="968"/>
      <c r="AI121" s="968"/>
      <c r="AJ121" s="968"/>
      <c r="AK121" s="968"/>
      <c r="AL121" s="968"/>
      <c r="AM121" s="968"/>
      <c r="AN121" s="968"/>
      <c r="AO121" s="968"/>
      <c r="AP121" s="968"/>
      <c r="AQ121" s="968"/>
      <c r="AR121" s="968"/>
      <c r="AS121" s="968"/>
      <c r="AT121" s="968"/>
      <c r="AU121" s="968"/>
      <c r="AV121" s="968"/>
      <c r="AW121" s="968"/>
      <c r="AX121" s="968"/>
      <c r="AY121" s="968"/>
      <c r="AZ121" s="968"/>
      <c r="BA121" s="968"/>
      <c r="BB121" s="968"/>
      <c r="BC121" s="968"/>
      <c r="BD121" s="968"/>
      <c r="BE121" s="971"/>
    </row>
    <row r="122" spans="1:57" ht="15.75" customHeight="1" thickBot="1">
      <c r="A122" s="968"/>
      <c r="B122" s="2056"/>
      <c r="C122" s="2057"/>
      <c r="D122" s="2057"/>
      <c r="E122" s="2057"/>
      <c r="F122" s="2057"/>
      <c r="G122" s="2057"/>
      <c r="H122" s="2057"/>
      <c r="I122" s="2057"/>
      <c r="J122" s="2057"/>
      <c r="K122" s="2057"/>
      <c r="L122" s="2057"/>
      <c r="M122" s="2057"/>
      <c r="N122" s="2057"/>
      <c r="O122" s="2057"/>
      <c r="P122" s="2057"/>
      <c r="Q122" s="2057"/>
      <c r="R122" s="2057"/>
      <c r="S122" s="2057"/>
      <c r="T122" s="2057"/>
      <c r="U122" s="2060"/>
      <c r="V122" s="2060"/>
      <c r="W122" s="2060"/>
      <c r="X122" s="2061"/>
      <c r="Y122" s="968"/>
      <c r="Z122" s="968"/>
      <c r="AA122" s="968"/>
      <c r="AB122" s="968"/>
      <c r="AC122" s="968"/>
      <c r="AD122" s="968"/>
      <c r="AE122" s="968"/>
      <c r="AF122" s="968"/>
      <c r="AG122" s="968"/>
      <c r="AH122" s="968"/>
      <c r="AI122" s="968"/>
      <c r="AJ122" s="968"/>
      <c r="AK122" s="968"/>
      <c r="AL122" s="968"/>
      <c r="AM122" s="968"/>
      <c r="AN122" s="968"/>
      <c r="AO122" s="968"/>
      <c r="AP122" s="968"/>
      <c r="AQ122" s="968"/>
      <c r="AR122" s="968"/>
      <c r="AS122" s="968"/>
      <c r="AT122" s="968"/>
      <c r="AU122" s="968"/>
      <c r="AV122" s="968"/>
      <c r="AW122" s="968"/>
      <c r="AX122" s="968"/>
      <c r="AY122" s="968"/>
      <c r="AZ122" s="968"/>
      <c r="BA122" s="968"/>
      <c r="BB122" s="968"/>
      <c r="BC122" s="968"/>
      <c r="BD122" s="968"/>
      <c r="BE122" s="971"/>
    </row>
    <row r="123" spans="1:57" ht="15.75" customHeight="1" thickBot="1">
      <c r="A123" s="968"/>
      <c r="B123" s="968"/>
      <c r="C123" s="968"/>
      <c r="D123" s="968"/>
      <c r="E123" s="968"/>
      <c r="F123" s="968"/>
      <c r="G123" s="968"/>
      <c r="H123" s="968"/>
      <c r="I123" s="968"/>
      <c r="J123" s="968"/>
      <c r="K123" s="968"/>
      <c r="L123" s="968"/>
      <c r="M123" s="968"/>
      <c r="N123" s="968"/>
      <c r="O123" s="968"/>
      <c r="P123" s="968"/>
      <c r="Q123" s="968"/>
      <c r="R123" s="968"/>
      <c r="S123" s="968"/>
      <c r="T123" s="968"/>
      <c r="U123" s="968"/>
      <c r="V123" s="968"/>
      <c r="W123" s="968"/>
      <c r="X123" s="968"/>
      <c r="Y123" s="968"/>
      <c r="Z123" s="968"/>
      <c r="AA123" s="968"/>
      <c r="AB123" s="968"/>
      <c r="AC123" s="968"/>
      <c r="AD123" s="968"/>
      <c r="AE123" s="968"/>
      <c r="AF123" s="968"/>
      <c r="AG123" s="968"/>
      <c r="AH123" s="968"/>
      <c r="AI123" s="968"/>
      <c r="AJ123" s="968"/>
      <c r="AK123" s="968"/>
      <c r="AL123" s="968"/>
      <c r="AM123" s="968"/>
      <c r="AN123" s="968"/>
      <c r="AO123" s="968"/>
      <c r="AP123" s="968"/>
      <c r="AQ123" s="968"/>
      <c r="AR123" s="968"/>
      <c r="AS123" s="968"/>
      <c r="AT123" s="968"/>
      <c r="AU123" s="968"/>
      <c r="AV123" s="968"/>
      <c r="AW123" s="968"/>
      <c r="AX123" s="968"/>
      <c r="AY123" s="968"/>
      <c r="AZ123" s="968"/>
      <c r="BA123" s="968"/>
      <c r="BB123" s="968"/>
      <c r="BC123" s="968"/>
      <c r="BD123" s="968"/>
      <c r="BE123" s="971"/>
    </row>
    <row r="124" spans="1:57" ht="15.75" customHeight="1" thickBot="1">
      <c r="A124" s="968"/>
      <c r="B124" s="986" t="s">
        <v>2008</v>
      </c>
      <c r="C124" s="981"/>
      <c r="D124" s="981"/>
      <c r="E124" s="981"/>
      <c r="F124" s="981"/>
      <c r="G124" s="981"/>
      <c r="H124" s="981"/>
      <c r="I124" s="981"/>
      <c r="J124" s="981"/>
      <c r="K124" s="981"/>
      <c r="L124" s="981"/>
      <c r="M124" s="981"/>
      <c r="N124" s="981"/>
      <c r="O124" s="981"/>
      <c r="P124" s="981"/>
      <c r="Q124" s="981"/>
      <c r="R124" s="982"/>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71"/>
    </row>
    <row r="125" spans="1:57" ht="15.75" customHeight="1" thickBot="1">
      <c r="A125" s="968"/>
      <c r="B125" s="968"/>
      <c r="C125" s="968"/>
      <c r="D125" s="968"/>
      <c r="E125" s="968"/>
      <c r="F125" s="968"/>
      <c r="G125" s="968"/>
      <c r="H125" s="968"/>
      <c r="I125" s="968"/>
      <c r="J125" s="968"/>
      <c r="K125" s="968"/>
      <c r="L125" s="968"/>
      <c r="M125" s="968"/>
      <c r="N125" s="968"/>
      <c r="O125" s="968"/>
      <c r="P125" s="1002"/>
      <c r="Q125" s="968"/>
      <c r="R125" s="968"/>
      <c r="S125" s="968"/>
      <c r="T125" s="968"/>
      <c r="U125" s="968"/>
      <c r="V125" s="968"/>
      <c r="W125" s="968"/>
      <c r="X125" s="2016" t="s">
        <v>2009</v>
      </c>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62"/>
      <c r="BE125" s="971"/>
    </row>
    <row r="126" spans="1:57" ht="15.75" customHeight="1">
      <c r="A126" s="968"/>
      <c r="B126" s="2064" t="s">
        <v>2010</v>
      </c>
      <c r="C126" s="2065"/>
      <c r="D126" s="2065"/>
      <c r="E126" s="2065"/>
      <c r="F126" s="2065"/>
      <c r="G126" s="2065"/>
      <c r="H126" s="2065"/>
      <c r="I126" s="2065"/>
      <c r="J126" s="2065"/>
      <c r="K126" s="2065"/>
      <c r="L126" s="2065"/>
      <c r="M126" s="2065"/>
      <c r="N126" s="2065"/>
      <c r="O126" s="2065"/>
      <c r="P126" s="2065"/>
      <c r="Q126" s="2065"/>
      <c r="R126" s="2065"/>
      <c r="S126" s="2065"/>
      <c r="T126" s="2065"/>
      <c r="U126" s="2066"/>
      <c r="V126" s="968"/>
      <c r="W126" s="968"/>
      <c r="X126" s="2018"/>
      <c r="Y126" s="2019"/>
      <c r="Z126" s="2019"/>
      <c r="AA126" s="2019"/>
      <c r="AB126" s="2019"/>
      <c r="AC126" s="2019"/>
      <c r="AD126" s="2019"/>
      <c r="AE126" s="2019"/>
      <c r="AF126" s="2019"/>
      <c r="AG126" s="2019"/>
      <c r="AH126" s="2019"/>
      <c r="AI126" s="2019"/>
      <c r="AJ126" s="2019"/>
      <c r="AK126" s="2019"/>
      <c r="AL126" s="2019"/>
      <c r="AM126" s="2019"/>
      <c r="AN126" s="2019"/>
      <c r="AO126" s="2019"/>
      <c r="AP126" s="2019"/>
      <c r="AQ126" s="2019"/>
      <c r="AR126" s="2019"/>
      <c r="AS126" s="2019"/>
      <c r="AT126" s="2019"/>
      <c r="AU126" s="2019"/>
      <c r="AV126" s="2019"/>
      <c r="AW126" s="2019"/>
      <c r="AX126" s="2019"/>
      <c r="AY126" s="2019"/>
      <c r="AZ126" s="2019"/>
      <c r="BA126" s="2019"/>
      <c r="BB126" s="2019"/>
      <c r="BC126" s="2019"/>
      <c r="BD126" s="2063"/>
      <c r="BE126" s="971"/>
    </row>
    <row r="127" spans="1:57" ht="15.75" customHeight="1">
      <c r="A127" s="968"/>
      <c r="B127" s="2082"/>
      <c r="C127" s="2083"/>
      <c r="D127" s="2083"/>
      <c r="E127" s="2083"/>
      <c r="F127" s="2083"/>
      <c r="G127" s="2083"/>
      <c r="H127" s="2083"/>
      <c r="I127" s="1938" t="s">
        <v>2011</v>
      </c>
      <c r="J127" s="1938"/>
      <c r="K127" s="1938"/>
      <c r="L127" s="1938"/>
      <c r="M127" s="1938"/>
      <c r="N127" s="1938"/>
      <c r="O127" s="2038" t="s">
        <v>2012</v>
      </c>
      <c r="P127" s="2038"/>
      <c r="Q127" s="2038"/>
      <c r="R127" s="2038"/>
      <c r="S127" s="2038"/>
      <c r="T127" s="2038"/>
      <c r="U127" s="2039"/>
      <c r="V127" s="968"/>
      <c r="W127" s="968"/>
      <c r="X127" s="2003" t="s">
        <v>1982</v>
      </c>
      <c r="Y127" s="2004"/>
      <c r="Z127" s="2004"/>
      <c r="AA127" s="2004"/>
      <c r="AB127" s="2004"/>
      <c r="AC127" s="2004"/>
      <c r="AD127" s="2004"/>
      <c r="AE127" s="2004"/>
      <c r="AF127" s="2004"/>
      <c r="AG127" s="2004"/>
      <c r="AH127" s="2004"/>
      <c r="AI127" s="2004"/>
      <c r="AJ127" s="2004"/>
      <c r="AK127" s="2004"/>
      <c r="AL127" s="2004"/>
      <c r="AM127" s="2004"/>
      <c r="AN127" s="2004"/>
      <c r="AO127" s="2004"/>
      <c r="AP127" s="2004"/>
      <c r="AQ127" s="2004"/>
      <c r="AR127" s="2004"/>
      <c r="AS127" s="2004"/>
      <c r="AT127" s="2004"/>
      <c r="AU127" s="2004"/>
      <c r="AV127" s="2004"/>
      <c r="AW127" s="2004"/>
      <c r="AX127" s="2004"/>
      <c r="AY127" s="2004"/>
      <c r="AZ127" s="2004"/>
      <c r="BA127" s="2004"/>
      <c r="BB127" s="2004"/>
      <c r="BC127" s="2004"/>
      <c r="BD127" s="2005"/>
      <c r="BE127" s="971"/>
    </row>
    <row r="128" spans="1:57" ht="15.75" customHeight="1">
      <c r="A128" s="968"/>
      <c r="B128" s="2040" t="s">
        <v>2013</v>
      </c>
      <c r="C128" s="2041"/>
      <c r="D128" s="2041"/>
      <c r="E128" s="2041"/>
      <c r="F128" s="2041"/>
      <c r="G128" s="2041"/>
      <c r="H128" s="2041"/>
      <c r="I128" s="2014">
        <v>0</v>
      </c>
      <c r="J128" s="2014"/>
      <c r="K128" s="2014"/>
      <c r="L128" s="2014"/>
      <c r="M128" s="2014"/>
      <c r="N128" s="2014"/>
      <c r="O128" s="2014">
        <v>0</v>
      </c>
      <c r="P128" s="2014"/>
      <c r="Q128" s="2014"/>
      <c r="R128" s="2014"/>
      <c r="S128" s="2014"/>
      <c r="T128" s="2014"/>
      <c r="U128" s="2015"/>
      <c r="V128" s="968"/>
      <c r="W128" s="968"/>
      <c r="X128" s="2003"/>
      <c r="Y128" s="2004"/>
      <c r="Z128" s="2004"/>
      <c r="AA128" s="2004"/>
      <c r="AB128" s="2004"/>
      <c r="AC128" s="2004"/>
      <c r="AD128" s="2004"/>
      <c r="AE128" s="2004"/>
      <c r="AF128" s="2004"/>
      <c r="AG128" s="2004"/>
      <c r="AH128" s="2004"/>
      <c r="AI128" s="2004"/>
      <c r="AJ128" s="2004"/>
      <c r="AK128" s="2004"/>
      <c r="AL128" s="2004"/>
      <c r="AM128" s="2004"/>
      <c r="AN128" s="2004"/>
      <c r="AO128" s="2004"/>
      <c r="AP128" s="2004"/>
      <c r="AQ128" s="2004"/>
      <c r="AR128" s="2004"/>
      <c r="AS128" s="2004"/>
      <c r="AT128" s="2004"/>
      <c r="AU128" s="2004"/>
      <c r="AV128" s="2004"/>
      <c r="AW128" s="2004"/>
      <c r="AX128" s="2004"/>
      <c r="AY128" s="2004"/>
      <c r="AZ128" s="2004"/>
      <c r="BA128" s="2004"/>
      <c r="BB128" s="2004"/>
      <c r="BC128" s="2004"/>
      <c r="BD128" s="2005"/>
      <c r="BE128" s="971"/>
    </row>
    <row r="129" spans="1:57" ht="15.75" customHeight="1" thickBot="1">
      <c r="A129" s="968"/>
      <c r="B129" s="2042" t="s">
        <v>2014</v>
      </c>
      <c r="C129" s="2043"/>
      <c r="D129" s="2043"/>
      <c r="E129" s="2043"/>
      <c r="F129" s="2043"/>
      <c r="G129" s="2043"/>
      <c r="H129" s="2043"/>
      <c r="I129" s="2029">
        <v>0</v>
      </c>
      <c r="J129" s="2029"/>
      <c r="K129" s="2029"/>
      <c r="L129" s="2029"/>
      <c r="M129" s="2029"/>
      <c r="N129" s="2029"/>
      <c r="O129" s="2044"/>
      <c r="P129" s="2044"/>
      <c r="Q129" s="2044"/>
      <c r="R129" s="2044"/>
      <c r="S129" s="2044"/>
      <c r="T129" s="2044"/>
      <c r="U129" s="2045"/>
      <c r="V129" s="968"/>
      <c r="W129" s="968"/>
      <c r="X129" s="2003"/>
      <c r="Y129" s="2004"/>
      <c r="Z129" s="2004"/>
      <c r="AA129" s="2004"/>
      <c r="AB129" s="2004"/>
      <c r="AC129" s="2004"/>
      <c r="AD129" s="2004"/>
      <c r="AE129" s="2004"/>
      <c r="AF129" s="2004"/>
      <c r="AG129" s="2004"/>
      <c r="AH129" s="2004"/>
      <c r="AI129" s="2004"/>
      <c r="AJ129" s="2004"/>
      <c r="AK129" s="2004"/>
      <c r="AL129" s="2004"/>
      <c r="AM129" s="2004"/>
      <c r="AN129" s="2004"/>
      <c r="AO129" s="2004"/>
      <c r="AP129" s="2004"/>
      <c r="AQ129" s="2004"/>
      <c r="AR129" s="2004"/>
      <c r="AS129" s="2004"/>
      <c r="AT129" s="2004"/>
      <c r="AU129" s="2004"/>
      <c r="AV129" s="2004"/>
      <c r="AW129" s="2004"/>
      <c r="AX129" s="2004"/>
      <c r="AY129" s="2004"/>
      <c r="AZ129" s="2004"/>
      <c r="BA129" s="2004"/>
      <c r="BB129" s="2004"/>
      <c r="BC129" s="2004"/>
      <c r="BD129" s="2005"/>
      <c r="BE129" s="971"/>
    </row>
    <row r="130" spans="1:57" ht="15.75" customHeight="1" thickBot="1">
      <c r="A130" s="968"/>
      <c r="B130" s="968"/>
      <c r="C130" s="968"/>
      <c r="D130" s="968"/>
      <c r="E130" s="968"/>
      <c r="F130" s="968"/>
      <c r="G130" s="968"/>
      <c r="H130" s="968"/>
      <c r="I130" s="968"/>
      <c r="J130" s="968"/>
      <c r="K130" s="968"/>
      <c r="L130" s="968"/>
      <c r="M130" s="968"/>
      <c r="N130" s="968"/>
      <c r="O130" s="968"/>
      <c r="P130" s="968"/>
      <c r="Q130" s="968"/>
      <c r="R130" s="968"/>
      <c r="S130" s="968"/>
      <c r="T130" s="968"/>
      <c r="U130" s="968"/>
      <c r="V130" s="968"/>
      <c r="W130" s="968"/>
      <c r="X130" s="2003"/>
      <c r="Y130" s="2004"/>
      <c r="Z130" s="2004"/>
      <c r="AA130" s="2004"/>
      <c r="AB130" s="2004"/>
      <c r="AC130" s="2004"/>
      <c r="AD130" s="2004"/>
      <c r="AE130" s="2004"/>
      <c r="AF130" s="2004"/>
      <c r="AG130" s="2004"/>
      <c r="AH130" s="2004"/>
      <c r="AI130" s="2004"/>
      <c r="AJ130" s="2004"/>
      <c r="AK130" s="2004"/>
      <c r="AL130" s="2004"/>
      <c r="AM130" s="2004"/>
      <c r="AN130" s="2004"/>
      <c r="AO130" s="2004"/>
      <c r="AP130" s="2004"/>
      <c r="AQ130" s="2004"/>
      <c r="AR130" s="2004"/>
      <c r="AS130" s="2004"/>
      <c r="AT130" s="2004"/>
      <c r="AU130" s="2004"/>
      <c r="AV130" s="2004"/>
      <c r="AW130" s="2004"/>
      <c r="AX130" s="2004"/>
      <c r="AY130" s="2004"/>
      <c r="AZ130" s="2004"/>
      <c r="BA130" s="2004"/>
      <c r="BB130" s="2004"/>
      <c r="BC130" s="2004"/>
      <c r="BD130" s="2005"/>
      <c r="BE130" s="971"/>
    </row>
    <row r="131" spans="1:57" ht="15.75" customHeight="1" thickBot="1">
      <c r="A131" s="968"/>
      <c r="B131" s="986" t="s">
        <v>2015</v>
      </c>
      <c r="C131" s="987"/>
      <c r="D131" s="987"/>
      <c r="E131" s="987"/>
      <c r="F131" s="987"/>
      <c r="G131" s="987"/>
      <c r="H131" s="987"/>
      <c r="I131" s="987"/>
      <c r="J131" s="987"/>
      <c r="K131" s="987"/>
      <c r="L131" s="987"/>
      <c r="M131" s="987"/>
      <c r="N131" s="987"/>
      <c r="O131" s="987"/>
      <c r="P131" s="988"/>
      <c r="Q131" s="972" t="s">
        <v>254</v>
      </c>
      <c r="R131" s="972" t="s">
        <v>254</v>
      </c>
      <c r="S131" s="968"/>
      <c r="T131" s="968"/>
      <c r="U131" s="968"/>
      <c r="V131" s="968" t="s">
        <v>254</v>
      </c>
      <c r="W131" s="968"/>
      <c r="X131" s="2003"/>
      <c r="Y131" s="2004"/>
      <c r="Z131" s="2004"/>
      <c r="AA131" s="2004"/>
      <c r="AB131" s="2004"/>
      <c r="AC131" s="2004"/>
      <c r="AD131" s="2004"/>
      <c r="AE131" s="2004"/>
      <c r="AF131" s="2004"/>
      <c r="AG131" s="2004"/>
      <c r="AH131" s="2004"/>
      <c r="AI131" s="2004"/>
      <c r="AJ131" s="2004"/>
      <c r="AK131" s="2004"/>
      <c r="AL131" s="2004"/>
      <c r="AM131" s="2004"/>
      <c r="AN131" s="2004"/>
      <c r="AO131" s="2004"/>
      <c r="AP131" s="2004"/>
      <c r="AQ131" s="2004"/>
      <c r="AR131" s="2004"/>
      <c r="AS131" s="2004"/>
      <c r="AT131" s="2004"/>
      <c r="AU131" s="2004"/>
      <c r="AV131" s="2004"/>
      <c r="AW131" s="2004"/>
      <c r="AX131" s="2004"/>
      <c r="AY131" s="2004"/>
      <c r="AZ131" s="2004"/>
      <c r="BA131" s="2004"/>
      <c r="BB131" s="2004"/>
      <c r="BC131" s="2004"/>
      <c r="BD131" s="2005"/>
      <c r="BE131" s="971"/>
    </row>
    <row r="132" spans="1:57" ht="15.75" customHeight="1" thickBot="1">
      <c r="A132" s="968"/>
      <c r="B132" s="968"/>
      <c r="C132" s="968"/>
      <c r="D132" s="968"/>
      <c r="E132" s="968"/>
      <c r="F132" s="968"/>
      <c r="G132" s="968"/>
      <c r="H132" s="968"/>
      <c r="I132" s="968"/>
      <c r="J132" s="968"/>
      <c r="K132" s="968"/>
      <c r="L132" s="968"/>
      <c r="M132" s="968"/>
      <c r="N132" s="968"/>
      <c r="O132" s="968"/>
      <c r="P132" s="968"/>
      <c r="Q132" s="968"/>
      <c r="R132" s="968"/>
      <c r="S132" s="968"/>
      <c r="T132" s="968"/>
      <c r="U132" s="968"/>
      <c r="V132" s="968"/>
      <c r="W132" s="968"/>
      <c r="X132" s="2003"/>
      <c r="Y132" s="2004"/>
      <c r="Z132" s="2004"/>
      <c r="AA132" s="2004"/>
      <c r="AB132" s="2004"/>
      <c r="AC132" s="2004"/>
      <c r="AD132" s="2004"/>
      <c r="AE132" s="2004"/>
      <c r="AF132" s="2004"/>
      <c r="AG132" s="2004"/>
      <c r="AH132" s="2004"/>
      <c r="AI132" s="2004"/>
      <c r="AJ132" s="2004"/>
      <c r="AK132" s="2004"/>
      <c r="AL132" s="2004"/>
      <c r="AM132" s="2004"/>
      <c r="AN132" s="2004"/>
      <c r="AO132" s="2004"/>
      <c r="AP132" s="2004"/>
      <c r="AQ132" s="2004"/>
      <c r="AR132" s="2004"/>
      <c r="AS132" s="2004"/>
      <c r="AT132" s="2004"/>
      <c r="AU132" s="2004"/>
      <c r="AV132" s="2004"/>
      <c r="AW132" s="2004"/>
      <c r="AX132" s="2004"/>
      <c r="AY132" s="2004"/>
      <c r="AZ132" s="2004"/>
      <c r="BA132" s="2004"/>
      <c r="BB132" s="2004"/>
      <c r="BC132" s="2004"/>
      <c r="BD132" s="2005"/>
      <c r="BE132" s="971"/>
    </row>
    <row r="133" spans="1:57" ht="15.75" customHeight="1">
      <c r="A133" s="968"/>
      <c r="B133" s="1839" t="s">
        <v>2016</v>
      </c>
      <c r="C133" s="1840"/>
      <c r="D133" s="1840"/>
      <c r="E133" s="1840"/>
      <c r="F133" s="1840"/>
      <c r="G133" s="1840"/>
      <c r="H133" s="1840"/>
      <c r="I133" s="1840"/>
      <c r="J133" s="1840"/>
      <c r="K133" s="1840"/>
      <c r="L133" s="1840"/>
      <c r="M133" s="1840"/>
      <c r="N133" s="1840"/>
      <c r="O133" s="1840"/>
      <c r="P133" s="1840"/>
      <c r="Q133" s="1840"/>
      <c r="R133" s="1840"/>
      <c r="S133" s="1840"/>
      <c r="T133" s="1840"/>
      <c r="U133" s="1841"/>
      <c r="V133" s="968"/>
      <c r="W133" s="968"/>
      <c r="X133" s="2003"/>
      <c r="Y133" s="2004"/>
      <c r="Z133" s="2004"/>
      <c r="AA133" s="2004"/>
      <c r="AB133" s="2004"/>
      <c r="AC133" s="2004"/>
      <c r="AD133" s="2004"/>
      <c r="AE133" s="2004"/>
      <c r="AF133" s="2004"/>
      <c r="AG133" s="2004"/>
      <c r="AH133" s="2004"/>
      <c r="AI133" s="2004"/>
      <c r="AJ133" s="2004"/>
      <c r="AK133" s="2004"/>
      <c r="AL133" s="2004"/>
      <c r="AM133" s="2004"/>
      <c r="AN133" s="2004"/>
      <c r="AO133" s="2004"/>
      <c r="AP133" s="2004"/>
      <c r="AQ133" s="2004"/>
      <c r="AR133" s="2004"/>
      <c r="AS133" s="2004"/>
      <c r="AT133" s="2004"/>
      <c r="AU133" s="2004"/>
      <c r="AV133" s="2004"/>
      <c r="AW133" s="2004"/>
      <c r="AX133" s="2004"/>
      <c r="AY133" s="2004"/>
      <c r="AZ133" s="2004"/>
      <c r="BA133" s="2004"/>
      <c r="BB133" s="2004"/>
      <c r="BC133" s="2004"/>
      <c r="BD133" s="2005"/>
      <c r="BE133" s="971"/>
    </row>
    <row r="134" spans="1:57" ht="15.75" customHeight="1">
      <c r="A134" s="968"/>
      <c r="B134" s="2082"/>
      <c r="C134" s="2083"/>
      <c r="D134" s="2083"/>
      <c r="E134" s="2083"/>
      <c r="F134" s="2083"/>
      <c r="G134" s="2083"/>
      <c r="H134" s="2083"/>
      <c r="I134" s="2084" t="s">
        <v>1991</v>
      </c>
      <c r="J134" s="2084"/>
      <c r="K134" s="2084"/>
      <c r="L134" s="2084"/>
      <c r="M134" s="2084"/>
      <c r="N134" s="2084"/>
      <c r="O134" s="2084"/>
      <c r="P134" s="2084" t="s">
        <v>1992</v>
      </c>
      <c r="Q134" s="2084"/>
      <c r="R134" s="2084"/>
      <c r="S134" s="2084"/>
      <c r="T134" s="2084"/>
      <c r="U134" s="2085"/>
      <c r="V134" s="968"/>
      <c r="W134" s="968"/>
      <c r="X134" s="2003"/>
      <c r="Y134" s="2004"/>
      <c r="Z134" s="2004"/>
      <c r="AA134" s="2004"/>
      <c r="AB134" s="2004"/>
      <c r="AC134" s="2004"/>
      <c r="AD134" s="2004"/>
      <c r="AE134" s="2004"/>
      <c r="AF134" s="2004"/>
      <c r="AG134" s="2004"/>
      <c r="AH134" s="2004"/>
      <c r="AI134" s="2004"/>
      <c r="AJ134" s="2004"/>
      <c r="AK134" s="2004"/>
      <c r="AL134" s="2004"/>
      <c r="AM134" s="2004"/>
      <c r="AN134" s="2004"/>
      <c r="AO134" s="2004"/>
      <c r="AP134" s="2004"/>
      <c r="AQ134" s="2004"/>
      <c r="AR134" s="2004"/>
      <c r="AS134" s="2004"/>
      <c r="AT134" s="2004"/>
      <c r="AU134" s="2004"/>
      <c r="AV134" s="2004"/>
      <c r="AW134" s="2004"/>
      <c r="AX134" s="2004"/>
      <c r="AY134" s="2004"/>
      <c r="AZ134" s="2004"/>
      <c r="BA134" s="2004"/>
      <c r="BB134" s="2004"/>
      <c r="BC134" s="2004"/>
      <c r="BD134" s="2005"/>
      <c r="BE134" s="971"/>
    </row>
    <row r="135" spans="1:57" ht="15.75" customHeight="1">
      <c r="A135" s="968"/>
      <c r="B135" s="2082"/>
      <c r="C135" s="2083"/>
      <c r="D135" s="2083"/>
      <c r="E135" s="2083"/>
      <c r="F135" s="2083"/>
      <c r="G135" s="2083"/>
      <c r="H135" s="2083"/>
      <c r="I135" s="2084"/>
      <c r="J135" s="2084"/>
      <c r="K135" s="2084"/>
      <c r="L135" s="2084"/>
      <c r="M135" s="2084"/>
      <c r="N135" s="2084"/>
      <c r="O135" s="2084"/>
      <c r="P135" s="2084"/>
      <c r="Q135" s="2084"/>
      <c r="R135" s="2084"/>
      <c r="S135" s="2084"/>
      <c r="T135" s="2084"/>
      <c r="U135" s="2085"/>
      <c r="V135" s="968"/>
      <c r="W135" s="968"/>
      <c r="X135" s="2003"/>
      <c r="Y135" s="2004"/>
      <c r="Z135" s="2004"/>
      <c r="AA135" s="2004"/>
      <c r="AB135" s="2004"/>
      <c r="AC135" s="2004"/>
      <c r="AD135" s="2004"/>
      <c r="AE135" s="2004"/>
      <c r="AF135" s="2004"/>
      <c r="AG135" s="2004"/>
      <c r="AH135" s="2004"/>
      <c r="AI135" s="2004"/>
      <c r="AJ135" s="2004"/>
      <c r="AK135" s="2004"/>
      <c r="AL135" s="2004"/>
      <c r="AM135" s="2004"/>
      <c r="AN135" s="2004"/>
      <c r="AO135" s="2004"/>
      <c r="AP135" s="2004"/>
      <c r="AQ135" s="2004"/>
      <c r="AR135" s="2004"/>
      <c r="AS135" s="2004"/>
      <c r="AT135" s="2004"/>
      <c r="AU135" s="2004"/>
      <c r="AV135" s="2004"/>
      <c r="AW135" s="2004"/>
      <c r="AX135" s="2004"/>
      <c r="AY135" s="2004"/>
      <c r="AZ135" s="2004"/>
      <c r="BA135" s="2004"/>
      <c r="BB135" s="2004"/>
      <c r="BC135" s="2004"/>
      <c r="BD135" s="2005"/>
      <c r="BE135" s="971"/>
    </row>
    <row r="136" spans="1:57" ht="15.75" customHeight="1">
      <c r="A136" s="968"/>
      <c r="B136" s="2040" t="s">
        <v>2013</v>
      </c>
      <c r="C136" s="2041"/>
      <c r="D136" s="2041"/>
      <c r="E136" s="2041"/>
      <c r="F136" s="2041"/>
      <c r="G136" s="2041"/>
      <c r="H136" s="2041"/>
      <c r="I136" s="2014">
        <v>0</v>
      </c>
      <c r="J136" s="2014"/>
      <c r="K136" s="2014"/>
      <c r="L136" s="2014"/>
      <c r="M136" s="2014"/>
      <c r="N136" s="2014"/>
      <c r="O136" s="2014"/>
      <c r="P136" s="2014">
        <v>0</v>
      </c>
      <c r="Q136" s="2014"/>
      <c r="R136" s="2014"/>
      <c r="S136" s="2014"/>
      <c r="T136" s="2014"/>
      <c r="U136" s="2015"/>
      <c r="V136" s="968"/>
      <c r="W136" s="968"/>
      <c r="X136" s="2003"/>
      <c r="Y136" s="2004"/>
      <c r="Z136" s="2004"/>
      <c r="AA136" s="2004"/>
      <c r="AB136" s="2004"/>
      <c r="AC136" s="2004"/>
      <c r="AD136" s="2004"/>
      <c r="AE136" s="2004"/>
      <c r="AF136" s="2004"/>
      <c r="AG136" s="2004"/>
      <c r="AH136" s="2004"/>
      <c r="AI136" s="2004"/>
      <c r="AJ136" s="2004"/>
      <c r="AK136" s="2004"/>
      <c r="AL136" s="2004"/>
      <c r="AM136" s="2004"/>
      <c r="AN136" s="2004"/>
      <c r="AO136" s="2004"/>
      <c r="AP136" s="2004"/>
      <c r="AQ136" s="2004"/>
      <c r="AR136" s="2004"/>
      <c r="AS136" s="2004"/>
      <c r="AT136" s="2004"/>
      <c r="AU136" s="2004"/>
      <c r="AV136" s="2004"/>
      <c r="AW136" s="2004"/>
      <c r="AX136" s="2004"/>
      <c r="AY136" s="2004"/>
      <c r="AZ136" s="2004"/>
      <c r="BA136" s="2004"/>
      <c r="BB136" s="2004"/>
      <c r="BC136" s="2004"/>
      <c r="BD136" s="2005"/>
      <c r="BE136" s="971"/>
    </row>
    <row r="137" spans="1:57" ht="15.75" customHeight="1" thickBot="1">
      <c r="A137" s="968"/>
      <c r="B137" s="2042" t="s">
        <v>2014</v>
      </c>
      <c r="C137" s="2043"/>
      <c r="D137" s="2043"/>
      <c r="E137" s="2043"/>
      <c r="F137" s="2043"/>
      <c r="G137" s="2043"/>
      <c r="H137" s="2043"/>
      <c r="I137" s="2029">
        <v>0</v>
      </c>
      <c r="J137" s="2029"/>
      <c r="K137" s="2029"/>
      <c r="L137" s="2029"/>
      <c r="M137" s="2029"/>
      <c r="N137" s="2029"/>
      <c r="O137" s="2029"/>
      <c r="P137" s="2029">
        <v>0</v>
      </c>
      <c r="Q137" s="2029"/>
      <c r="R137" s="2029"/>
      <c r="S137" s="2029"/>
      <c r="T137" s="2029"/>
      <c r="U137" s="2030"/>
      <c r="V137" s="968"/>
      <c r="W137" s="968"/>
      <c r="X137" s="2006"/>
      <c r="Y137" s="2007"/>
      <c r="Z137" s="2007"/>
      <c r="AA137" s="2007"/>
      <c r="AB137" s="2007"/>
      <c r="AC137" s="2007"/>
      <c r="AD137" s="2007"/>
      <c r="AE137" s="2007"/>
      <c r="AF137" s="2007"/>
      <c r="AG137" s="2007"/>
      <c r="AH137" s="2007"/>
      <c r="AI137" s="2007"/>
      <c r="AJ137" s="2007"/>
      <c r="AK137" s="2007"/>
      <c r="AL137" s="2007"/>
      <c r="AM137" s="2007"/>
      <c r="AN137" s="2007"/>
      <c r="AO137" s="2007"/>
      <c r="AP137" s="2007"/>
      <c r="AQ137" s="2007"/>
      <c r="AR137" s="2007"/>
      <c r="AS137" s="2007"/>
      <c r="AT137" s="2007"/>
      <c r="AU137" s="2007"/>
      <c r="AV137" s="2007"/>
      <c r="AW137" s="2007"/>
      <c r="AX137" s="2007"/>
      <c r="AY137" s="2007"/>
      <c r="AZ137" s="2007"/>
      <c r="BA137" s="2007"/>
      <c r="BB137" s="2007"/>
      <c r="BC137" s="2007"/>
      <c r="BD137" s="2008"/>
      <c r="BE137" s="971"/>
    </row>
    <row r="138" spans="1:57" ht="15.75" customHeight="1" thickBot="1">
      <c r="A138" s="968"/>
      <c r="B138" s="968"/>
      <c r="C138" s="968"/>
      <c r="D138" s="968"/>
      <c r="E138" s="968"/>
      <c r="F138" s="968"/>
      <c r="G138" s="968"/>
      <c r="H138" s="968"/>
      <c r="I138" s="968"/>
      <c r="J138" s="968"/>
      <c r="K138" s="968"/>
      <c r="L138" s="968"/>
      <c r="M138" s="968"/>
      <c r="N138" s="968"/>
      <c r="O138" s="968"/>
      <c r="P138" s="968"/>
      <c r="Q138" s="1004"/>
      <c r="R138" s="968"/>
      <c r="S138" s="968"/>
      <c r="T138" s="968"/>
      <c r="U138" s="968"/>
      <c r="V138" s="968"/>
      <c r="W138" s="968"/>
      <c r="X138" s="968"/>
      <c r="Y138" s="968"/>
      <c r="Z138" s="968"/>
      <c r="AA138" s="968"/>
      <c r="AB138" s="968"/>
      <c r="AC138" s="968"/>
      <c r="AD138" s="968"/>
      <c r="AE138" s="968"/>
      <c r="AF138" s="968"/>
      <c r="AG138" s="968"/>
      <c r="AH138" s="968"/>
      <c r="AI138" s="968"/>
      <c r="AJ138" s="968"/>
      <c r="AK138" s="968"/>
      <c r="AL138" s="968"/>
      <c r="AM138" s="968"/>
      <c r="AN138" s="968"/>
      <c r="AO138" s="968"/>
      <c r="AP138" s="968"/>
      <c r="AQ138" s="968"/>
      <c r="AR138" s="968"/>
      <c r="AS138" s="968"/>
      <c r="AT138" s="968"/>
      <c r="AU138" s="968"/>
      <c r="AV138" s="968"/>
      <c r="AW138" s="968"/>
      <c r="AX138" s="968"/>
      <c r="AY138" s="968"/>
      <c r="AZ138" s="968"/>
      <c r="BA138" s="968"/>
      <c r="BB138" s="968"/>
      <c r="BC138" s="968"/>
      <c r="BD138" s="968"/>
      <c r="BE138" s="971"/>
    </row>
    <row r="139" spans="1:57" ht="15.75" customHeight="1">
      <c r="A139" s="968"/>
      <c r="B139" s="2080" t="s">
        <v>2017</v>
      </c>
      <c r="C139" s="2081"/>
      <c r="D139" s="2081"/>
      <c r="E139" s="2081"/>
      <c r="F139" s="2081"/>
      <c r="G139" s="2081"/>
      <c r="H139" s="2081"/>
      <c r="I139" s="2081"/>
      <c r="J139" s="2081"/>
      <c r="K139" s="2081"/>
      <c r="L139" s="2081"/>
      <c r="M139" s="2081"/>
      <c r="N139" s="2081"/>
      <c r="O139" s="2081"/>
      <c r="P139" s="2081"/>
      <c r="Q139" s="2081"/>
      <c r="R139" s="2081"/>
      <c r="S139" s="2081"/>
      <c r="T139" s="2081"/>
      <c r="U139" s="2081"/>
      <c r="V139" s="2081"/>
      <c r="W139" s="2081"/>
      <c r="X139" s="2081"/>
      <c r="Y139" s="2081"/>
      <c r="Z139" s="2081"/>
      <c r="AA139" s="2081"/>
      <c r="AB139" s="2081"/>
      <c r="AC139" s="2081"/>
      <c r="AD139" s="2081"/>
      <c r="AE139" s="2081"/>
      <c r="AF139" s="2081"/>
      <c r="AG139" s="2081"/>
      <c r="AH139" s="1962" t="s">
        <v>847</v>
      </c>
      <c r="AI139" s="1962"/>
      <c r="AJ139" s="1962"/>
      <c r="AK139" s="1962"/>
      <c r="AL139" s="1962"/>
      <c r="AM139" s="1962"/>
      <c r="AN139" s="1962"/>
      <c r="AO139" s="1962"/>
      <c r="AP139" s="1962"/>
      <c r="AQ139" s="1962"/>
      <c r="AR139" s="1962"/>
      <c r="AS139" s="1962"/>
      <c r="AT139" s="1962"/>
      <c r="AU139" s="1962"/>
      <c r="AV139" s="1962"/>
      <c r="AW139" s="1962"/>
      <c r="AX139" s="1963"/>
      <c r="AY139" s="968"/>
      <c r="AZ139" s="968"/>
      <c r="BA139" s="968"/>
      <c r="BB139" s="968"/>
      <c r="BC139" s="968"/>
      <c r="BD139" s="968"/>
      <c r="BE139" s="971"/>
    </row>
    <row r="140" spans="1:57" ht="15.75" customHeight="1" thickBot="1">
      <c r="A140" s="968"/>
      <c r="B140" s="2067" t="s">
        <v>2018</v>
      </c>
      <c r="C140" s="2068"/>
      <c r="D140" s="2068"/>
      <c r="E140" s="2068"/>
      <c r="F140" s="2068"/>
      <c r="G140" s="2068"/>
      <c r="H140" s="2068"/>
      <c r="I140" s="2068"/>
      <c r="J140" s="2068"/>
      <c r="K140" s="2068"/>
      <c r="L140" s="2068"/>
      <c r="M140" s="2068"/>
      <c r="N140" s="2068"/>
      <c r="O140" s="2068"/>
      <c r="P140" s="2068"/>
      <c r="Q140" s="2068"/>
      <c r="R140" s="2068"/>
      <c r="S140" s="2068"/>
      <c r="T140" s="2068"/>
      <c r="U140" s="2068"/>
      <c r="V140" s="2068"/>
      <c r="W140" s="2068"/>
      <c r="X140" s="2068"/>
      <c r="Y140" s="2068"/>
      <c r="Z140" s="2068"/>
      <c r="AA140" s="2068"/>
      <c r="AB140" s="2068"/>
      <c r="AC140" s="2068"/>
      <c r="AD140" s="2068"/>
      <c r="AE140" s="2068"/>
      <c r="AF140" s="2068"/>
      <c r="AG140" s="2069"/>
      <c r="AH140" s="2031"/>
      <c r="AI140" s="2032"/>
      <c r="AJ140" s="2032"/>
      <c r="AK140" s="2032"/>
      <c r="AL140" s="2032"/>
      <c r="AM140" s="2032"/>
      <c r="AN140" s="2032"/>
      <c r="AO140" s="2032"/>
      <c r="AP140" s="2032"/>
      <c r="AQ140" s="2032"/>
      <c r="AR140" s="2032"/>
      <c r="AS140" s="2032"/>
      <c r="AT140" s="2032"/>
      <c r="AU140" s="2032"/>
      <c r="AV140" s="2032"/>
      <c r="AW140" s="2032"/>
      <c r="AX140" s="2033"/>
      <c r="AY140" s="968"/>
      <c r="AZ140" s="968"/>
      <c r="BA140" s="968"/>
      <c r="BB140" s="968"/>
      <c r="BC140" s="968"/>
      <c r="BD140" s="968"/>
      <c r="BE140" s="971"/>
    </row>
    <row r="141" spans="1:57" ht="15.75" customHeight="1">
      <c r="A141" s="968"/>
      <c r="B141" s="2067" t="s">
        <v>2019</v>
      </c>
      <c r="C141" s="2068"/>
      <c r="D141" s="2068"/>
      <c r="E141" s="2068"/>
      <c r="F141" s="2068"/>
      <c r="G141" s="2068"/>
      <c r="H141" s="2068"/>
      <c r="I141" s="2068"/>
      <c r="J141" s="2068"/>
      <c r="K141" s="2068"/>
      <c r="L141" s="2068"/>
      <c r="M141" s="2068"/>
      <c r="N141" s="2068"/>
      <c r="O141" s="2068"/>
      <c r="P141" s="2068"/>
      <c r="Q141" s="2068"/>
      <c r="R141" s="2068"/>
      <c r="S141" s="2068"/>
      <c r="T141" s="2068"/>
      <c r="U141" s="2068"/>
      <c r="V141" s="2068"/>
      <c r="W141" s="2068"/>
      <c r="X141" s="2068"/>
      <c r="Y141" s="2068"/>
      <c r="Z141" s="2068"/>
      <c r="AA141" s="2068"/>
      <c r="AB141" s="2068"/>
      <c r="AC141" s="2068"/>
      <c r="AD141" s="2068"/>
      <c r="AE141" s="2068"/>
      <c r="AF141" s="2068"/>
      <c r="AG141" s="2069"/>
      <c r="AH141" s="1962" t="s">
        <v>847</v>
      </c>
      <c r="AI141" s="1962"/>
      <c r="AJ141" s="1962"/>
      <c r="AK141" s="1962"/>
      <c r="AL141" s="1962"/>
      <c r="AM141" s="1962"/>
      <c r="AN141" s="1962"/>
      <c r="AO141" s="1962"/>
      <c r="AP141" s="1962"/>
      <c r="AQ141" s="1962"/>
      <c r="AR141" s="1962"/>
      <c r="AS141" s="1962"/>
      <c r="AT141" s="1962"/>
      <c r="AU141" s="1962"/>
      <c r="AV141" s="1962"/>
      <c r="AW141" s="1962"/>
      <c r="AX141" s="1963"/>
      <c r="AY141" s="968"/>
      <c r="AZ141" s="968"/>
      <c r="BA141" s="968"/>
      <c r="BB141" s="968"/>
      <c r="BC141" s="968"/>
      <c r="BD141" s="968"/>
      <c r="BE141" s="971"/>
    </row>
    <row r="142" spans="1:57" ht="15.75" customHeight="1">
      <c r="A142" s="968"/>
      <c r="B142" s="2070" t="s">
        <v>2020</v>
      </c>
      <c r="C142" s="2071"/>
      <c r="D142" s="2071"/>
      <c r="E142" s="2071"/>
      <c r="F142" s="2071"/>
      <c r="G142" s="2071"/>
      <c r="H142" s="2071"/>
      <c r="I142" s="2071"/>
      <c r="J142" s="2071"/>
      <c r="K142" s="2071"/>
      <c r="L142" s="2071"/>
      <c r="M142" s="2071"/>
      <c r="N142" s="2071"/>
      <c r="O142" s="2071"/>
      <c r="P142" s="2071"/>
      <c r="Q142" s="2071"/>
      <c r="R142" s="2072" t="s">
        <v>2021</v>
      </c>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2"/>
      <c r="AP142" s="2072"/>
      <c r="AQ142" s="2072"/>
      <c r="AR142" s="2072"/>
      <c r="AS142" s="2072"/>
      <c r="AT142" s="2072"/>
      <c r="AU142" s="2072"/>
      <c r="AV142" s="2072"/>
      <c r="AW142" s="2072"/>
      <c r="AX142" s="2073"/>
      <c r="AY142" s="968"/>
      <c r="AZ142" s="968"/>
      <c r="BA142" s="968"/>
      <c r="BB142" s="968"/>
      <c r="BC142" s="968" t="s">
        <v>254</v>
      </c>
      <c r="BD142" s="968"/>
      <c r="BE142" s="971"/>
    </row>
    <row r="143" spans="1:57" ht="15.75" customHeight="1">
      <c r="A143" s="968"/>
      <c r="B143" s="2074" t="s">
        <v>2022</v>
      </c>
      <c r="C143" s="2075"/>
      <c r="D143" s="2075"/>
      <c r="E143" s="2075"/>
      <c r="F143" s="2075"/>
      <c r="G143" s="2075"/>
      <c r="H143" s="2075"/>
      <c r="I143" s="2075"/>
      <c r="J143" s="2075"/>
      <c r="K143" s="2075"/>
      <c r="L143" s="2075"/>
      <c r="M143" s="2075"/>
      <c r="N143" s="2075"/>
      <c r="O143" s="2075"/>
      <c r="P143" s="2075"/>
      <c r="Q143" s="2075"/>
      <c r="R143" s="2075"/>
      <c r="S143" s="2075"/>
      <c r="T143" s="2075"/>
      <c r="U143" s="2075"/>
      <c r="V143" s="2075"/>
      <c r="W143" s="2075"/>
      <c r="X143" s="2075"/>
      <c r="Y143" s="2075"/>
      <c r="Z143" s="2075"/>
      <c r="AA143" s="2075"/>
      <c r="AB143" s="2075"/>
      <c r="AC143" s="2075"/>
      <c r="AD143" s="2075"/>
      <c r="AE143" s="2075"/>
      <c r="AF143" s="2075"/>
      <c r="AG143" s="2075"/>
      <c r="AH143" s="2075"/>
      <c r="AI143" s="2075"/>
      <c r="AJ143" s="2075"/>
      <c r="AK143" s="2075"/>
      <c r="AL143" s="2075"/>
      <c r="AM143" s="2075"/>
      <c r="AN143" s="2075"/>
      <c r="AO143" s="2075"/>
      <c r="AP143" s="2075"/>
      <c r="AQ143" s="2075"/>
      <c r="AR143" s="2075"/>
      <c r="AS143" s="2075"/>
      <c r="AT143" s="2075"/>
      <c r="AU143" s="2075"/>
      <c r="AV143" s="2075"/>
      <c r="AW143" s="2075"/>
      <c r="AX143" s="2076"/>
      <c r="AY143" s="968"/>
      <c r="AZ143" s="968"/>
      <c r="BA143" s="968"/>
      <c r="BB143" s="968"/>
      <c r="BC143" s="968"/>
      <c r="BD143" s="968"/>
      <c r="BE143" s="971"/>
    </row>
    <row r="144" spans="1:57" ht="15.75" customHeight="1">
      <c r="A144" s="968"/>
      <c r="B144" s="2074"/>
      <c r="C144" s="2075"/>
      <c r="D144" s="2075"/>
      <c r="E144" s="2075"/>
      <c r="F144" s="2075"/>
      <c r="G144" s="2075"/>
      <c r="H144" s="2075"/>
      <c r="I144" s="2075"/>
      <c r="J144" s="2075"/>
      <c r="K144" s="2075"/>
      <c r="L144" s="2075"/>
      <c r="M144" s="2075"/>
      <c r="N144" s="2075"/>
      <c r="O144" s="2075"/>
      <c r="P144" s="2075"/>
      <c r="Q144" s="2075"/>
      <c r="R144" s="2075"/>
      <c r="S144" s="2075"/>
      <c r="T144" s="2075"/>
      <c r="U144" s="2075"/>
      <c r="V144" s="2075"/>
      <c r="W144" s="2075"/>
      <c r="X144" s="2075"/>
      <c r="Y144" s="2075"/>
      <c r="Z144" s="2075"/>
      <c r="AA144" s="2075"/>
      <c r="AB144" s="2075"/>
      <c r="AC144" s="2075"/>
      <c r="AD144" s="2075"/>
      <c r="AE144" s="2075"/>
      <c r="AF144" s="2075"/>
      <c r="AG144" s="2075"/>
      <c r="AH144" s="2075"/>
      <c r="AI144" s="2075"/>
      <c r="AJ144" s="2075"/>
      <c r="AK144" s="2075"/>
      <c r="AL144" s="2075"/>
      <c r="AM144" s="2075"/>
      <c r="AN144" s="2075"/>
      <c r="AO144" s="2075"/>
      <c r="AP144" s="2075"/>
      <c r="AQ144" s="2075"/>
      <c r="AR144" s="2075"/>
      <c r="AS144" s="2075"/>
      <c r="AT144" s="2075"/>
      <c r="AU144" s="2075"/>
      <c r="AV144" s="2075"/>
      <c r="AW144" s="2075"/>
      <c r="AX144" s="2076"/>
      <c r="AY144" s="968"/>
      <c r="AZ144" s="968"/>
      <c r="BA144" s="968"/>
      <c r="BB144" s="968"/>
      <c r="BC144" s="968"/>
      <c r="BD144" s="968"/>
      <c r="BE144" s="971"/>
    </row>
    <row r="145" spans="1:57" ht="15.75" customHeight="1">
      <c r="A145" s="968"/>
      <c r="B145" s="2074"/>
      <c r="C145" s="2075"/>
      <c r="D145" s="2075"/>
      <c r="E145" s="2075"/>
      <c r="F145" s="2075"/>
      <c r="G145" s="2075"/>
      <c r="H145" s="2075"/>
      <c r="I145" s="2075"/>
      <c r="J145" s="2075"/>
      <c r="K145" s="2075"/>
      <c r="L145" s="2075"/>
      <c r="M145" s="2075"/>
      <c r="N145" s="2075"/>
      <c r="O145" s="2075"/>
      <c r="P145" s="2075"/>
      <c r="Q145" s="2075"/>
      <c r="R145" s="2075"/>
      <c r="S145" s="2075"/>
      <c r="T145" s="2075"/>
      <c r="U145" s="2075"/>
      <c r="V145" s="2075"/>
      <c r="W145" s="2075"/>
      <c r="X145" s="2075"/>
      <c r="Y145" s="2075"/>
      <c r="Z145" s="2075"/>
      <c r="AA145" s="2075"/>
      <c r="AB145" s="2075"/>
      <c r="AC145" s="2075"/>
      <c r="AD145" s="2075"/>
      <c r="AE145" s="2075"/>
      <c r="AF145" s="2075"/>
      <c r="AG145" s="2075"/>
      <c r="AH145" s="2075"/>
      <c r="AI145" s="2075"/>
      <c r="AJ145" s="2075"/>
      <c r="AK145" s="2075"/>
      <c r="AL145" s="2075"/>
      <c r="AM145" s="2075"/>
      <c r="AN145" s="2075"/>
      <c r="AO145" s="2075"/>
      <c r="AP145" s="2075"/>
      <c r="AQ145" s="2075"/>
      <c r="AR145" s="2075"/>
      <c r="AS145" s="2075"/>
      <c r="AT145" s="2075"/>
      <c r="AU145" s="2075"/>
      <c r="AV145" s="2075"/>
      <c r="AW145" s="2075"/>
      <c r="AX145" s="2076"/>
      <c r="AY145" s="968"/>
      <c r="AZ145" s="968"/>
      <c r="BA145" s="968"/>
      <c r="BB145" s="968"/>
      <c r="BC145" s="968"/>
      <c r="BD145" s="968"/>
      <c r="BE145" s="971"/>
    </row>
    <row r="146" spans="1:57" ht="15.75" customHeight="1">
      <c r="A146" s="968"/>
      <c r="B146" s="2074"/>
      <c r="C146" s="2075"/>
      <c r="D146" s="2075"/>
      <c r="E146" s="2075"/>
      <c r="F146" s="2075"/>
      <c r="G146" s="2075"/>
      <c r="H146" s="2075"/>
      <c r="I146" s="2075"/>
      <c r="J146" s="2075"/>
      <c r="K146" s="2075"/>
      <c r="L146" s="2075"/>
      <c r="M146" s="2075"/>
      <c r="N146" s="2075"/>
      <c r="O146" s="2075"/>
      <c r="P146" s="2075"/>
      <c r="Q146" s="2075"/>
      <c r="R146" s="2075"/>
      <c r="S146" s="2075"/>
      <c r="T146" s="2075"/>
      <c r="U146" s="2075"/>
      <c r="V146" s="2075"/>
      <c r="W146" s="2075"/>
      <c r="X146" s="2075"/>
      <c r="Y146" s="2075"/>
      <c r="Z146" s="2075"/>
      <c r="AA146" s="2075"/>
      <c r="AB146" s="2075"/>
      <c r="AC146" s="2075"/>
      <c r="AD146" s="2075"/>
      <c r="AE146" s="2075"/>
      <c r="AF146" s="2075"/>
      <c r="AG146" s="2075"/>
      <c r="AH146" s="2075"/>
      <c r="AI146" s="2075"/>
      <c r="AJ146" s="2075"/>
      <c r="AK146" s="2075"/>
      <c r="AL146" s="2075"/>
      <c r="AM146" s="2075"/>
      <c r="AN146" s="2075"/>
      <c r="AO146" s="2075"/>
      <c r="AP146" s="2075"/>
      <c r="AQ146" s="2075"/>
      <c r="AR146" s="2075"/>
      <c r="AS146" s="2075"/>
      <c r="AT146" s="2075"/>
      <c r="AU146" s="2075"/>
      <c r="AV146" s="2075"/>
      <c r="AW146" s="2075"/>
      <c r="AX146" s="2076"/>
      <c r="AY146" s="968"/>
      <c r="AZ146" s="968"/>
      <c r="BA146" s="968"/>
      <c r="BB146" s="968"/>
      <c r="BC146" s="968"/>
      <c r="BD146" s="968"/>
      <c r="BE146" s="971"/>
    </row>
    <row r="147" spans="1:57" ht="15.75" customHeight="1">
      <c r="A147" s="968"/>
      <c r="B147" s="2074"/>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5"/>
      <c r="AP147" s="2075"/>
      <c r="AQ147" s="2075"/>
      <c r="AR147" s="2075"/>
      <c r="AS147" s="2075"/>
      <c r="AT147" s="2075"/>
      <c r="AU147" s="2075"/>
      <c r="AV147" s="2075"/>
      <c r="AW147" s="2075"/>
      <c r="AX147" s="2076"/>
      <c r="AY147" s="968"/>
      <c r="AZ147" s="968"/>
      <c r="BA147" s="968"/>
      <c r="BB147" s="968"/>
      <c r="BC147" s="968"/>
      <c r="BD147" s="968"/>
      <c r="BE147" s="971"/>
    </row>
    <row r="148" spans="1:57" ht="15.75" customHeight="1">
      <c r="A148" s="968"/>
      <c r="B148" s="2074"/>
      <c r="C148" s="2075"/>
      <c r="D148" s="2075"/>
      <c r="E148" s="2075"/>
      <c r="F148" s="2075"/>
      <c r="G148" s="2075"/>
      <c r="H148" s="2075"/>
      <c r="I148" s="2075"/>
      <c r="J148" s="2075"/>
      <c r="K148" s="2075"/>
      <c r="L148" s="2075"/>
      <c r="M148" s="2075"/>
      <c r="N148" s="2075"/>
      <c r="O148" s="2075"/>
      <c r="P148" s="2075"/>
      <c r="Q148" s="2075"/>
      <c r="R148" s="2075"/>
      <c r="S148" s="2075"/>
      <c r="T148" s="2075"/>
      <c r="U148" s="2075"/>
      <c r="V148" s="2075"/>
      <c r="W148" s="2075"/>
      <c r="X148" s="2075"/>
      <c r="Y148" s="2075"/>
      <c r="Z148" s="2075"/>
      <c r="AA148" s="2075"/>
      <c r="AB148" s="2075"/>
      <c r="AC148" s="2075"/>
      <c r="AD148" s="2075"/>
      <c r="AE148" s="2075"/>
      <c r="AF148" s="2075"/>
      <c r="AG148" s="2075"/>
      <c r="AH148" s="2075"/>
      <c r="AI148" s="2075"/>
      <c r="AJ148" s="2075"/>
      <c r="AK148" s="2075"/>
      <c r="AL148" s="2075"/>
      <c r="AM148" s="2075"/>
      <c r="AN148" s="2075"/>
      <c r="AO148" s="2075"/>
      <c r="AP148" s="2075"/>
      <c r="AQ148" s="2075"/>
      <c r="AR148" s="2075"/>
      <c r="AS148" s="2075"/>
      <c r="AT148" s="2075"/>
      <c r="AU148" s="2075"/>
      <c r="AV148" s="2075"/>
      <c r="AW148" s="2075"/>
      <c r="AX148" s="2076"/>
      <c r="AY148" s="968"/>
      <c r="AZ148" s="968"/>
      <c r="BA148" s="968"/>
      <c r="BB148" s="968"/>
      <c r="BC148" s="968"/>
      <c r="BD148" s="968"/>
      <c r="BE148" s="971"/>
    </row>
    <row r="149" spans="1:57" ht="15.75" customHeight="1">
      <c r="A149" s="968"/>
      <c r="B149" s="2074"/>
      <c r="C149" s="2075"/>
      <c r="D149" s="2075"/>
      <c r="E149" s="2075"/>
      <c r="F149" s="2075"/>
      <c r="G149" s="2075"/>
      <c r="H149" s="2075"/>
      <c r="I149" s="2075"/>
      <c r="J149" s="2075"/>
      <c r="K149" s="2075"/>
      <c r="L149" s="2075"/>
      <c r="M149" s="2075"/>
      <c r="N149" s="2075"/>
      <c r="O149" s="2075"/>
      <c r="P149" s="2075"/>
      <c r="Q149" s="2075"/>
      <c r="R149" s="2075"/>
      <c r="S149" s="2075"/>
      <c r="T149" s="2075"/>
      <c r="U149" s="2075"/>
      <c r="V149" s="2075"/>
      <c r="W149" s="2075"/>
      <c r="X149" s="2075"/>
      <c r="Y149" s="2075"/>
      <c r="Z149" s="2075"/>
      <c r="AA149" s="2075"/>
      <c r="AB149" s="2075"/>
      <c r="AC149" s="2075"/>
      <c r="AD149" s="2075"/>
      <c r="AE149" s="2075"/>
      <c r="AF149" s="2075"/>
      <c r="AG149" s="2075"/>
      <c r="AH149" s="2075"/>
      <c r="AI149" s="2075"/>
      <c r="AJ149" s="2075"/>
      <c r="AK149" s="2075"/>
      <c r="AL149" s="2075"/>
      <c r="AM149" s="2075"/>
      <c r="AN149" s="2075"/>
      <c r="AO149" s="2075"/>
      <c r="AP149" s="2075"/>
      <c r="AQ149" s="2075"/>
      <c r="AR149" s="2075"/>
      <c r="AS149" s="2075"/>
      <c r="AT149" s="2075"/>
      <c r="AU149" s="2075"/>
      <c r="AV149" s="2075"/>
      <c r="AW149" s="2075"/>
      <c r="AX149" s="2076"/>
      <c r="AY149" s="968"/>
      <c r="AZ149" s="968"/>
      <c r="BA149" s="968"/>
      <c r="BB149" s="968"/>
      <c r="BC149" s="968"/>
      <c r="BD149" s="968"/>
      <c r="BE149" s="971"/>
    </row>
    <row r="150" spans="1:57" ht="15.75" customHeight="1">
      <c r="A150" s="968"/>
      <c r="B150" s="2074"/>
      <c r="C150" s="2075"/>
      <c r="D150" s="2075"/>
      <c r="E150" s="2075"/>
      <c r="F150" s="2075"/>
      <c r="G150" s="2075"/>
      <c r="H150" s="2075"/>
      <c r="I150" s="2075"/>
      <c r="J150" s="2075"/>
      <c r="K150" s="2075"/>
      <c r="L150" s="2075"/>
      <c r="M150" s="2075"/>
      <c r="N150" s="2075"/>
      <c r="O150" s="2075"/>
      <c r="P150" s="2075"/>
      <c r="Q150" s="2075"/>
      <c r="R150" s="2075"/>
      <c r="S150" s="2075"/>
      <c r="T150" s="2075"/>
      <c r="U150" s="2075"/>
      <c r="V150" s="2075"/>
      <c r="W150" s="2075"/>
      <c r="X150" s="2075"/>
      <c r="Y150" s="2075"/>
      <c r="Z150" s="2075"/>
      <c r="AA150" s="2075"/>
      <c r="AB150" s="2075"/>
      <c r="AC150" s="2075"/>
      <c r="AD150" s="2075"/>
      <c r="AE150" s="2075"/>
      <c r="AF150" s="2075"/>
      <c r="AG150" s="2075"/>
      <c r="AH150" s="2075"/>
      <c r="AI150" s="2075"/>
      <c r="AJ150" s="2075"/>
      <c r="AK150" s="2075"/>
      <c r="AL150" s="2075"/>
      <c r="AM150" s="2075"/>
      <c r="AN150" s="2075"/>
      <c r="AO150" s="2075"/>
      <c r="AP150" s="2075"/>
      <c r="AQ150" s="2075"/>
      <c r="AR150" s="2075"/>
      <c r="AS150" s="2075"/>
      <c r="AT150" s="2075"/>
      <c r="AU150" s="2075"/>
      <c r="AV150" s="2075"/>
      <c r="AW150" s="2075"/>
      <c r="AX150" s="2076"/>
      <c r="AY150" s="968"/>
      <c r="AZ150" s="968"/>
      <c r="BA150" s="968"/>
      <c r="BB150" s="968"/>
      <c r="BC150" s="968"/>
      <c r="BD150" s="968"/>
      <c r="BE150" s="971"/>
    </row>
    <row r="151" spans="1:57" ht="15.75" customHeight="1">
      <c r="A151" s="968"/>
      <c r="B151" s="2074"/>
      <c r="C151" s="2075"/>
      <c r="D151" s="2075"/>
      <c r="E151" s="2075"/>
      <c r="F151" s="2075"/>
      <c r="G151" s="2075"/>
      <c r="H151" s="2075"/>
      <c r="I151" s="2075"/>
      <c r="J151" s="2075"/>
      <c r="K151" s="2075"/>
      <c r="L151" s="2075"/>
      <c r="M151" s="2075"/>
      <c r="N151" s="2075"/>
      <c r="O151" s="2075"/>
      <c r="P151" s="2075"/>
      <c r="Q151" s="2075"/>
      <c r="R151" s="2075"/>
      <c r="S151" s="2075"/>
      <c r="T151" s="2075"/>
      <c r="U151" s="2075"/>
      <c r="V151" s="2075"/>
      <c r="W151" s="2075"/>
      <c r="X151" s="2075"/>
      <c r="Y151" s="2075"/>
      <c r="Z151" s="2075"/>
      <c r="AA151" s="2075"/>
      <c r="AB151" s="2075"/>
      <c r="AC151" s="2075"/>
      <c r="AD151" s="2075"/>
      <c r="AE151" s="2075"/>
      <c r="AF151" s="2075"/>
      <c r="AG151" s="2075"/>
      <c r="AH151" s="2075"/>
      <c r="AI151" s="2075"/>
      <c r="AJ151" s="2075"/>
      <c r="AK151" s="2075"/>
      <c r="AL151" s="2075"/>
      <c r="AM151" s="2075"/>
      <c r="AN151" s="2075"/>
      <c r="AO151" s="2075"/>
      <c r="AP151" s="2075"/>
      <c r="AQ151" s="2075"/>
      <c r="AR151" s="2075"/>
      <c r="AS151" s="2075"/>
      <c r="AT151" s="2075"/>
      <c r="AU151" s="2075"/>
      <c r="AV151" s="2075"/>
      <c r="AW151" s="2075"/>
      <c r="AX151" s="2076"/>
      <c r="AY151" s="968"/>
      <c r="AZ151" s="968"/>
      <c r="BA151" s="968"/>
      <c r="BB151" s="968"/>
      <c r="BC151" s="968"/>
      <c r="BD151" s="968"/>
      <c r="BE151" s="971"/>
    </row>
    <row r="152" spans="1:57" ht="15.75" customHeight="1" thickBot="1">
      <c r="A152" s="968"/>
      <c r="B152" s="2077"/>
      <c r="C152" s="2078"/>
      <c r="D152" s="2078"/>
      <c r="E152" s="2078"/>
      <c r="F152" s="2078"/>
      <c r="G152" s="2078"/>
      <c r="H152" s="2078"/>
      <c r="I152" s="2078"/>
      <c r="J152" s="2078"/>
      <c r="K152" s="2078"/>
      <c r="L152" s="2078"/>
      <c r="M152" s="2078"/>
      <c r="N152" s="2078"/>
      <c r="O152" s="2078"/>
      <c r="P152" s="2078"/>
      <c r="Q152" s="2078"/>
      <c r="R152" s="2078"/>
      <c r="S152" s="2078"/>
      <c r="T152" s="2078"/>
      <c r="U152" s="2078"/>
      <c r="V152" s="2078"/>
      <c r="W152" s="2078"/>
      <c r="X152" s="2078"/>
      <c r="Y152" s="2078"/>
      <c r="Z152" s="2078"/>
      <c r="AA152" s="2078"/>
      <c r="AB152" s="2078"/>
      <c r="AC152" s="2078"/>
      <c r="AD152" s="2078"/>
      <c r="AE152" s="2078"/>
      <c r="AF152" s="2078"/>
      <c r="AG152" s="2078"/>
      <c r="AH152" s="2078"/>
      <c r="AI152" s="2078"/>
      <c r="AJ152" s="2078"/>
      <c r="AK152" s="2078"/>
      <c r="AL152" s="2078"/>
      <c r="AM152" s="2078"/>
      <c r="AN152" s="2078"/>
      <c r="AO152" s="2078"/>
      <c r="AP152" s="2078"/>
      <c r="AQ152" s="2078"/>
      <c r="AR152" s="2078"/>
      <c r="AS152" s="2078"/>
      <c r="AT152" s="2078"/>
      <c r="AU152" s="2078"/>
      <c r="AV152" s="2078"/>
      <c r="AW152" s="2078"/>
      <c r="AX152" s="2079"/>
      <c r="AY152" s="968"/>
      <c r="AZ152" s="968"/>
      <c r="BA152" s="968"/>
      <c r="BB152" s="968"/>
      <c r="BC152" s="968"/>
      <c r="BD152" s="968"/>
      <c r="BE152" s="971"/>
    </row>
    <row r="153" spans="1:57" ht="15.75" customHeight="1" thickBot="1">
      <c r="A153" s="968"/>
      <c r="B153" s="968"/>
      <c r="C153" s="968"/>
      <c r="D153" s="968"/>
      <c r="E153" s="968"/>
      <c r="F153" s="968"/>
      <c r="G153" s="968"/>
      <c r="H153" s="968"/>
      <c r="I153" s="968"/>
      <c r="J153" s="968"/>
      <c r="K153" s="968"/>
      <c r="L153" s="968"/>
      <c r="M153" s="968"/>
      <c r="N153" s="968"/>
      <c r="O153" s="968"/>
      <c r="P153" s="968"/>
      <c r="Q153" s="968"/>
      <c r="R153" s="968"/>
      <c r="S153" s="968"/>
      <c r="T153" s="968"/>
      <c r="U153" s="968"/>
      <c r="V153" s="968"/>
      <c r="W153" s="968"/>
      <c r="X153" s="968"/>
      <c r="Y153" s="968"/>
      <c r="Z153" s="968"/>
      <c r="AA153" s="968"/>
      <c r="AB153" s="968"/>
      <c r="AC153" s="968"/>
      <c r="AD153" s="968"/>
      <c r="AE153" s="968"/>
      <c r="AF153" s="968"/>
      <c r="AG153" s="968"/>
      <c r="AH153" s="968"/>
      <c r="AI153" s="968"/>
      <c r="AJ153" s="968"/>
      <c r="AK153" s="968"/>
      <c r="AL153" s="968"/>
      <c r="AM153" s="968"/>
      <c r="AN153" s="968"/>
      <c r="AO153" s="968"/>
      <c r="AP153" s="968"/>
      <c r="AQ153" s="968"/>
      <c r="AR153" s="968"/>
      <c r="AS153" s="968"/>
      <c r="AT153" s="968"/>
      <c r="AU153" s="968"/>
      <c r="AV153" s="968"/>
      <c r="AW153" s="968"/>
      <c r="AX153" s="968"/>
      <c r="AY153" s="968"/>
      <c r="AZ153" s="968"/>
      <c r="BA153" s="968"/>
      <c r="BB153" s="968"/>
      <c r="BC153" s="968"/>
      <c r="BD153" s="968"/>
      <c r="BE153" s="971"/>
    </row>
    <row r="154" spans="1:57" ht="15.75" customHeight="1" thickBot="1">
      <c r="A154" s="968"/>
      <c r="B154" s="986" t="s">
        <v>2023</v>
      </c>
      <c r="C154" s="987"/>
      <c r="D154" s="987"/>
      <c r="E154" s="987"/>
      <c r="F154" s="987"/>
      <c r="G154" s="987"/>
      <c r="H154" s="987"/>
      <c r="I154" s="987"/>
      <c r="J154" s="987"/>
      <c r="K154" s="987"/>
      <c r="L154" s="987"/>
      <c r="M154" s="988"/>
      <c r="N154" s="972"/>
      <c r="O154" s="972"/>
      <c r="P154" s="968"/>
      <c r="Q154" s="968"/>
      <c r="R154" s="968"/>
      <c r="S154" s="968"/>
      <c r="T154" s="968"/>
      <c r="U154" s="968" t="s">
        <v>254</v>
      </c>
      <c r="V154" s="968"/>
      <c r="W154" s="968"/>
      <c r="X154" s="986" t="s">
        <v>2024</v>
      </c>
      <c r="Y154" s="987"/>
      <c r="Z154" s="987"/>
      <c r="AA154" s="987"/>
      <c r="AB154" s="987"/>
      <c r="AC154" s="987"/>
      <c r="AD154" s="987"/>
      <c r="AE154" s="987"/>
      <c r="AF154" s="987"/>
      <c r="AG154" s="987"/>
      <c r="AH154" s="987"/>
      <c r="AI154" s="987"/>
      <c r="AJ154" s="987"/>
      <c r="AK154" s="981"/>
      <c r="AL154" s="981"/>
      <c r="AM154" s="982"/>
      <c r="AN154" s="968"/>
      <c r="AO154" s="968"/>
      <c r="AP154" s="968"/>
      <c r="AQ154" s="968"/>
      <c r="AR154" s="968"/>
      <c r="AS154" s="968"/>
      <c r="AT154" s="968"/>
      <c r="AU154" s="968"/>
      <c r="AV154" s="968"/>
      <c r="AW154" s="968"/>
      <c r="AX154" s="968"/>
      <c r="AY154" s="968"/>
      <c r="AZ154" s="968"/>
      <c r="BA154" s="968"/>
      <c r="BB154" s="968"/>
      <c r="BC154" s="968"/>
      <c r="BD154" s="968"/>
      <c r="BE154" s="971"/>
    </row>
    <row r="155" spans="1:57" ht="15.75" customHeight="1" thickBot="1">
      <c r="A155" s="968"/>
      <c r="B155" s="968"/>
      <c r="C155" s="968"/>
      <c r="D155" s="968"/>
      <c r="E155" s="968"/>
      <c r="F155" s="968"/>
      <c r="G155" s="968"/>
      <c r="H155" s="968"/>
      <c r="I155" s="968"/>
      <c r="J155" s="968"/>
      <c r="K155" s="968"/>
      <c r="L155" s="968"/>
      <c r="M155" s="968"/>
      <c r="N155" s="968"/>
      <c r="O155" s="968"/>
      <c r="P155" s="972"/>
      <c r="Q155" s="968"/>
      <c r="R155" s="968"/>
      <c r="S155" s="968"/>
      <c r="T155" s="968"/>
      <c r="U155" s="968"/>
      <c r="V155" s="968"/>
      <c r="W155" s="968"/>
      <c r="X155" s="968"/>
      <c r="Y155" s="968"/>
      <c r="Z155" s="968"/>
      <c r="AA155" s="968"/>
      <c r="AB155" s="968"/>
      <c r="AC155" s="968"/>
      <c r="AD155" s="968"/>
      <c r="AE155" s="968"/>
      <c r="AF155" s="968"/>
      <c r="AG155" s="968"/>
      <c r="AH155" s="968"/>
      <c r="AI155" s="968"/>
      <c r="AJ155" s="968"/>
      <c r="AK155" s="968"/>
      <c r="AL155" s="968"/>
      <c r="AM155" s="968"/>
      <c r="AN155" s="968"/>
      <c r="AO155" s="968"/>
      <c r="AP155" s="968"/>
      <c r="AQ155" s="968"/>
      <c r="AR155" s="968"/>
      <c r="AS155" s="968"/>
      <c r="AT155" s="968"/>
      <c r="AU155" s="968"/>
      <c r="AV155" s="968"/>
      <c r="AW155" s="968"/>
      <c r="AX155" s="968"/>
      <c r="AY155" s="968"/>
      <c r="AZ155" s="968"/>
      <c r="BA155" s="968"/>
      <c r="BB155" s="968"/>
      <c r="BC155" s="968"/>
      <c r="BD155" s="968"/>
      <c r="BE155" s="971"/>
    </row>
    <row r="156" spans="1:57" ht="15.75" customHeight="1">
      <c r="A156" s="968"/>
      <c r="B156" s="1934" t="s">
        <v>2025</v>
      </c>
      <c r="C156" s="1935"/>
      <c r="D156" s="1935"/>
      <c r="E156" s="1935"/>
      <c r="F156" s="1935"/>
      <c r="G156" s="1935"/>
      <c r="H156" s="1935"/>
      <c r="I156" s="1935"/>
      <c r="J156" s="1935"/>
      <c r="K156" s="1935"/>
      <c r="L156" s="1935"/>
      <c r="M156" s="1935"/>
      <c r="N156" s="1935"/>
      <c r="O156" s="1935"/>
      <c r="P156" s="1935"/>
      <c r="Q156" s="1935"/>
      <c r="R156" s="1935"/>
      <c r="S156" s="1935"/>
      <c r="T156" s="1935"/>
      <c r="U156" s="1936"/>
      <c r="V156" s="968"/>
      <c r="W156" s="969"/>
      <c r="X156" s="1934" t="s">
        <v>2026</v>
      </c>
      <c r="Y156" s="1935"/>
      <c r="Z156" s="1935"/>
      <c r="AA156" s="1935"/>
      <c r="AB156" s="1935"/>
      <c r="AC156" s="1935"/>
      <c r="AD156" s="1935"/>
      <c r="AE156" s="1935"/>
      <c r="AF156" s="1935"/>
      <c r="AG156" s="1935"/>
      <c r="AH156" s="1935"/>
      <c r="AI156" s="1935"/>
      <c r="AJ156" s="1935"/>
      <c r="AK156" s="1935"/>
      <c r="AL156" s="1935"/>
      <c r="AM156" s="1935"/>
      <c r="AN156" s="1935"/>
      <c r="AO156" s="1935"/>
      <c r="AP156" s="1935"/>
      <c r="AQ156" s="1936"/>
      <c r="AR156" s="968"/>
      <c r="AS156" s="968"/>
      <c r="AT156" s="968"/>
      <c r="AU156" s="968"/>
      <c r="AV156" s="968"/>
      <c r="AW156" s="968"/>
      <c r="AX156" s="968"/>
      <c r="AY156" s="968"/>
      <c r="AZ156" s="968"/>
      <c r="BA156" s="968"/>
      <c r="BB156" s="968"/>
      <c r="BC156" s="968"/>
      <c r="BD156" s="968"/>
      <c r="BE156" s="971"/>
    </row>
    <row r="157" spans="1:57" ht="15.75" customHeight="1">
      <c r="A157" s="968"/>
      <c r="B157" s="2082"/>
      <c r="C157" s="2083"/>
      <c r="D157" s="2083"/>
      <c r="E157" s="2083"/>
      <c r="F157" s="2083"/>
      <c r="G157" s="2083"/>
      <c r="H157" s="2083"/>
      <c r="I157" s="2084" t="s">
        <v>1991</v>
      </c>
      <c r="J157" s="2084"/>
      <c r="K157" s="2084"/>
      <c r="L157" s="2084"/>
      <c r="M157" s="2084"/>
      <c r="N157" s="2084"/>
      <c r="O157" s="2084"/>
      <c r="P157" s="2084" t="s">
        <v>2027</v>
      </c>
      <c r="Q157" s="2084"/>
      <c r="R157" s="2084"/>
      <c r="S157" s="2084"/>
      <c r="T157" s="2084"/>
      <c r="U157" s="2085"/>
      <c r="V157" s="968"/>
      <c r="W157" s="968"/>
      <c r="X157" s="2082"/>
      <c r="Y157" s="2083"/>
      <c r="Z157" s="2083"/>
      <c r="AA157" s="2083"/>
      <c r="AB157" s="2083"/>
      <c r="AC157" s="2083"/>
      <c r="AD157" s="2083"/>
      <c r="AE157" s="2084" t="s">
        <v>1991</v>
      </c>
      <c r="AF157" s="2084"/>
      <c r="AG157" s="2084"/>
      <c r="AH157" s="2084"/>
      <c r="AI157" s="2084"/>
      <c r="AJ157" s="2084"/>
      <c r="AK157" s="2084"/>
      <c r="AL157" s="2084" t="s">
        <v>1992</v>
      </c>
      <c r="AM157" s="2084"/>
      <c r="AN157" s="2084"/>
      <c r="AO157" s="2084"/>
      <c r="AP157" s="2084"/>
      <c r="AQ157" s="2085"/>
      <c r="AR157" s="968"/>
      <c r="AS157" s="968"/>
      <c r="AT157" s="968"/>
      <c r="AU157" s="968"/>
      <c r="AV157" s="968"/>
      <c r="AW157" s="968"/>
      <c r="AX157" s="968"/>
      <c r="AY157" s="968"/>
      <c r="AZ157" s="968"/>
      <c r="BA157" s="968"/>
      <c r="BB157" s="968"/>
      <c r="BC157" s="968"/>
      <c r="BD157" s="968"/>
      <c r="BE157" s="971"/>
    </row>
    <row r="158" spans="1:57" ht="15.75" customHeight="1">
      <c r="A158" s="968"/>
      <c r="B158" s="2082"/>
      <c r="C158" s="2083"/>
      <c r="D158" s="2083"/>
      <c r="E158" s="2083"/>
      <c r="F158" s="2083"/>
      <c r="G158" s="2083"/>
      <c r="H158" s="2083"/>
      <c r="I158" s="2084"/>
      <c r="J158" s="2084"/>
      <c r="K158" s="2084"/>
      <c r="L158" s="2084"/>
      <c r="M158" s="2084"/>
      <c r="N158" s="2084"/>
      <c r="O158" s="2084"/>
      <c r="P158" s="2084"/>
      <c r="Q158" s="2084"/>
      <c r="R158" s="2084"/>
      <c r="S158" s="2084"/>
      <c r="T158" s="2084"/>
      <c r="U158" s="2085"/>
      <c r="V158" s="968"/>
      <c r="W158" s="968"/>
      <c r="X158" s="2082"/>
      <c r="Y158" s="2083"/>
      <c r="Z158" s="2083"/>
      <c r="AA158" s="2083"/>
      <c r="AB158" s="2083"/>
      <c r="AC158" s="2083"/>
      <c r="AD158" s="2083"/>
      <c r="AE158" s="2084"/>
      <c r="AF158" s="2084"/>
      <c r="AG158" s="2084"/>
      <c r="AH158" s="2084"/>
      <c r="AI158" s="2084"/>
      <c r="AJ158" s="2084"/>
      <c r="AK158" s="2084"/>
      <c r="AL158" s="2084"/>
      <c r="AM158" s="2084"/>
      <c r="AN158" s="2084"/>
      <c r="AO158" s="2084"/>
      <c r="AP158" s="2084"/>
      <c r="AQ158" s="2085"/>
      <c r="AR158" s="968"/>
      <c r="AS158" s="968"/>
      <c r="AT158" s="968"/>
      <c r="AU158" s="968"/>
      <c r="AV158" s="968"/>
      <c r="AW158" s="968"/>
      <c r="AX158" s="968"/>
      <c r="AY158" s="968"/>
      <c r="AZ158" s="968"/>
      <c r="BA158" s="968"/>
      <c r="BB158" s="968"/>
      <c r="BC158" s="968"/>
      <c r="BD158" s="968"/>
      <c r="BE158" s="971"/>
    </row>
    <row r="159" spans="1:57" ht="15.75" customHeight="1" thickBot="1">
      <c r="A159" s="968"/>
      <c r="B159" s="2040" t="s">
        <v>2013</v>
      </c>
      <c r="C159" s="2041"/>
      <c r="D159" s="2041"/>
      <c r="E159" s="2041"/>
      <c r="F159" s="2041"/>
      <c r="G159" s="2041"/>
      <c r="H159" s="2041"/>
      <c r="I159" s="2014">
        <v>0</v>
      </c>
      <c r="J159" s="2014"/>
      <c r="K159" s="2014"/>
      <c r="L159" s="2014"/>
      <c r="M159" s="2014"/>
      <c r="N159" s="2014"/>
      <c r="O159" s="2014"/>
      <c r="P159" s="2014">
        <v>0</v>
      </c>
      <c r="Q159" s="2014"/>
      <c r="R159" s="2014"/>
      <c r="S159" s="2014"/>
      <c r="T159" s="2014"/>
      <c r="U159" s="2015"/>
      <c r="V159" s="968"/>
      <c r="W159" s="968"/>
      <c r="X159" s="2042" t="s">
        <v>2013</v>
      </c>
      <c r="Y159" s="2043"/>
      <c r="Z159" s="2043"/>
      <c r="AA159" s="2043"/>
      <c r="AB159" s="2043"/>
      <c r="AC159" s="2043"/>
      <c r="AD159" s="2043"/>
      <c r="AE159" s="2029">
        <v>0</v>
      </c>
      <c r="AF159" s="2029"/>
      <c r="AG159" s="2029"/>
      <c r="AH159" s="2029"/>
      <c r="AI159" s="2029"/>
      <c r="AJ159" s="2029"/>
      <c r="AK159" s="2029"/>
      <c r="AL159" s="2029">
        <v>0</v>
      </c>
      <c r="AM159" s="2029"/>
      <c r="AN159" s="2029"/>
      <c r="AO159" s="2029"/>
      <c r="AP159" s="2029"/>
      <c r="AQ159" s="2030"/>
      <c r="AR159" s="968"/>
      <c r="AS159" s="968"/>
      <c r="AT159" s="968"/>
      <c r="AU159" s="968"/>
      <c r="AV159" s="968"/>
      <c r="AW159" s="968"/>
      <c r="AX159" s="968"/>
      <c r="AY159" s="968"/>
      <c r="AZ159" s="968"/>
      <c r="BA159" s="968"/>
      <c r="BB159" s="968"/>
      <c r="BC159" s="968"/>
      <c r="BD159" s="968"/>
      <c r="BE159" s="971"/>
    </row>
    <row r="160" spans="1:57" ht="15.75" customHeight="1" thickBot="1">
      <c r="A160" s="968"/>
      <c r="B160" s="2042" t="s">
        <v>2014</v>
      </c>
      <c r="C160" s="2043"/>
      <c r="D160" s="2043"/>
      <c r="E160" s="2043"/>
      <c r="F160" s="2043"/>
      <c r="G160" s="2043"/>
      <c r="H160" s="2043"/>
      <c r="I160" s="2029">
        <v>0</v>
      </c>
      <c r="J160" s="2029"/>
      <c r="K160" s="2029"/>
      <c r="L160" s="2029"/>
      <c r="M160" s="2029"/>
      <c r="N160" s="2029"/>
      <c r="O160" s="2029"/>
      <c r="P160" s="2029">
        <v>0</v>
      </c>
      <c r="Q160" s="2029"/>
      <c r="R160" s="2029"/>
      <c r="S160" s="2029"/>
      <c r="T160" s="2029"/>
      <c r="U160" s="2030"/>
      <c r="V160" s="968"/>
      <c r="W160" s="968"/>
      <c r="X160" s="968"/>
      <c r="Y160" s="968"/>
      <c r="Z160" s="968"/>
      <c r="AA160" s="968"/>
      <c r="AB160" s="968"/>
      <c r="AC160" s="968"/>
      <c r="AD160" s="968"/>
      <c r="AE160" s="968"/>
      <c r="AF160" s="968"/>
      <c r="AG160" s="968"/>
      <c r="AH160" s="968"/>
      <c r="AI160" s="968"/>
      <c r="AJ160" s="968"/>
      <c r="AK160" s="968"/>
      <c r="AL160" s="968"/>
      <c r="AM160" s="968"/>
      <c r="AN160" s="968"/>
      <c r="AO160" s="968"/>
      <c r="AP160" s="968"/>
      <c r="AQ160" s="968"/>
      <c r="AR160" s="968"/>
      <c r="AS160" s="968"/>
      <c r="AT160" s="968"/>
      <c r="AU160" s="968"/>
      <c r="AV160" s="968"/>
      <c r="AW160" s="968"/>
      <c r="AX160" s="968"/>
      <c r="AY160" s="968"/>
      <c r="AZ160" s="968"/>
      <c r="BA160" s="968"/>
      <c r="BB160" s="968"/>
      <c r="BC160" s="968"/>
      <c r="BD160" s="968"/>
      <c r="BE160" s="971"/>
    </row>
    <row r="161" spans="1:57" ht="15.75" customHeight="1" thickBot="1">
      <c r="A161" s="968"/>
      <c r="B161" s="968"/>
      <c r="C161" s="968"/>
      <c r="D161" s="968"/>
      <c r="E161" s="968"/>
      <c r="F161" s="968"/>
      <c r="G161" s="968"/>
      <c r="H161" s="968"/>
      <c r="I161" s="968"/>
      <c r="J161" s="968"/>
      <c r="K161" s="968"/>
      <c r="L161" s="968"/>
      <c r="M161" s="968"/>
      <c r="N161" s="968"/>
      <c r="O161" s="968"/>
      <c r="P161" s="968"/>
      <c r="Q161" s="968"/>
      <c r="R161" s="968"/>
      <c r="S161" s="968"/>
      <c r="T161" s="968"/>
      <c r="U161" s="968"/>
      <c r="V161" s="968"/>
      <c r="W161" s="968"/>
      <c r="X161" s="968"/>
      <c r="Y161" s="968"/>
      <c r="Z161" s="968"/>
      <c r="AA161" s="968"/>
      <c r="AB161" s="968"/>
      <c r="AC161" s="968"/>
      <c r="AD161" s="968"/>
      <c r="AE161" s="968"/>
      <c r="AF161" s="968"/>
      <c r="AG161" s="968"/>
      <c r="AH161" s="968"/>
      <c r="AI161" s="968"/>
      <c r="AJ161" s="968"/>
      <c r="AK161" s="968"/>
      <c r="AL161" s="968"/>
      <c r="AM161" s="968"/>
      <c r="AN161" s="968"/>
      <c r="AO161" s="968"/>
      <c r="AP161" s="968"/>
      <c r="AQ161" s="968"/>
      <c r="AR161" s="968"/>
      <c r="AS161" s="968"/>
      <c r="AT161" s="968"/>
      <c r="AU161" s="968"/>
      <c r="AV161" s="968"/>
      <c r="AW161" s="968"/>
      <c r="AX161" s="968"/>
      <c r="AY161" s="968"/>
      <c r="AZ161" s="968"/>
      <c r="BA161" s="968"/>
      <c r="BB161" s="968"/>
      <c r="BC161" s="968"/>
      <c r="BD161" s="968"/>
      <c r="BE161" s="971"/>
    </row>
    <row r="162" spans="1:57" ht="15.75" customHeight="1">
      <c r="A162" s="968"/>
      <c r="B162" s="968"/>
      <c r="C162" s="1934" t="s">
        <v>2028</v>
      </c>
      <c r="D162" s="1935"/>
      <c r="E162" s="1935"/>
      <c r="F162" s="1935"/>
      <c r="G162" s="1935"/>
      <c r="H162" s="1935"/>
      <c r="I162" s="1935"/>
      <c r="J162" s="1935"/>
      <c r="K162" s="1935"/>
      <c r="L162" s="1935"/>
      <c r="M162" s="1935"/>
      <c r="N162" s="1935"/>
      <c r="O162" s="1935"/>
      <c r="P162" s="1935"/>
      <c r="Q162" s="1935"/>
      <c r="R162" s="1935"/>
      <c r="S162" s="1935"/>
      <c r="T162" s="1935"/>
      <c r="U162" s="1935"/>
      <c r="V162" s="1935"/>
      <c r="W162" s="1935"/>
      <c r="X162" s="1935"/>
      <c r="Y162" s="1935"/>
      <c r="Z162" s="1935"/>
      <c r="AA162" s="1935"/>
      <c r="AB162" s="1935"/>
      <c r="AC162" s="1935"/>
      <c r="AD162" s="1935"/>
      <c r="AE162" s="1935"/>
      <c r="AF162" s="1935"/>
      <c r="AG162" s="1936"/>
      <c r="AH162" s="968"/>
      <c r="AI162" s="968"/>
      <c r="AJ162" s="968"/>
      <c r="AK162" s="968"/>
      <c r="AL162" s="968"/>
      <c r="AM162" s="968"/>
      <c r="AN162" s="968"/>
      <c r="AO162" s="968"/>
      <c r="AP162" s="968"/>
      <c r="AQ162" s="968"/>
      <c r="AR162" s="968"/>
      <c r="AS162" s="968"/>
      <c r="AT162" s="968"/>
      <c r="AU162" s="968"/>
      <c r="AV162" s="968"/>
      <c r="AW162" s="968"/>
      <c r="AX162" s="968"/>
      <c r="AY162" s="968"/>
      <c r="AZ162" s="968"/>
      <c r="BA162" s="968"/>
      <c r="BB162" s="968"/>
      <c r="BC162" s="968"/>
      <c r="BD162" s="968"/>
      <c r="BE162" s="971"/>
    </row>
    <row r="163" spans="1:57" ht="15.75" customHeight="1">
      <c r="A163" s="968"/>
      <c r="B163" s="968"/>
      <c r="C163" s="2082" t="s">
        <v>2029</v>
      </c>
      <c r="D163" s="2083"/>
      <c r="E163" s="2083"/>
      <c r="F163" s="2083"/>
      <c r="G163" s="2083"/>
      <c r="H163" s="2083"/>
      <c r="I163" s="2083"/>
      <c r="J163" s="2083"/>
      <c r="K163" s="2083"/>
      <c r="L163" s="2083"/>
      <c r="M163" s="2083"/>
      <c r="N163" s="2083"/>
      <c r="O163" s="2083"/>
      <c r="P163" s="2083"/>
      <c r="Q163" s="2083" t="s">
        <v>2030</v>
      </c>
      <c r="R163" s="2083"/>
      <c r="S163" s="2083"/>
      <c r="T163" s="2025" t="s">
        <v>2031</v>
      </c>
      <c r="U163" s="2025"/>
      <c r="V163" s="2025"/>
      <c r="W163" s="2025"/>
      <c r="X163" s="2025"/>
      <c r="Y163" s="2025"/>
      <c r="Z163" s="2025"/>
      <c r="AA163" s="2025"/>
      <c r="AB163" s="2083" t="s">
        <v>2032</v>
      </c>
      <c r="AC163" s="2083"/>
      <c r="AD163" s="2083"/>
      <c r="AE163" s="2083"/>
      <c r="AF163" s="2083"/>
      <c r="AG163" s="2091"/>
      <c r="AH163" s="968"/>
      <c r="AI163" s="968"/>
      <c r="AJ163" s="968"/>
      <c r="AK163" s="968"/>
      <c r="AL163" s="968"/>
      <c r="AM163" s="968"/>
      <c r="AN163" s="968"/>
      <c r="AO163" s="968"/>
      <c r="AP163" s="968"/>
      <c r="AQ163" s="968"/>
      <c r="AR163" s="968"/>
      <c r="AS163" s="968"/>
      <c r="AT163" s="968"/>
      <c r="AU163" s="968"/>
      <c r="AV163" s="968"/>
      <c r="AW163" s="968"/>
      <c r="AX163" s="968"/>
      <c r="AY163" s="968"/>
      <c r="AZ163" s="968"/>
      <c r="BA163" s="968"/>
      <c r="BB163" s="968"/>
      <c r="BC163" s="968"/>
      <c r="BD163" s="968"/>
      <c r="BE163" s="971"/>
    </row>
    <row r="164" spans="1:57" ht="15.75" customHeight="1">
      <c r="A164" s="968"/>
      <c r="B164" s="968"/>
      <c r="C164" s="2086" t="s">
        <v>2033</v>
      </c>
      <c r="D164" s="2087"/>
      <c r="E164" s="2087"/>
      <c r="F164" s="2087"/>
      <c r="G164" s="2087"/>
      <c r="H164" s="2087"/>
      <c r="I164" s="2087"/>
      <c r="J164" s="2087"/>
      <c r="K164" s="2087"/>
      <c r="L164" s="2087"/>
      <c r="M164" s="2087"/>
      <c r="N164" s="2087"/>
      <c r="O164" s="2087"/>
      <c r="P164" s="2087"/>
      <c r="Q164" s="2088">
        <v>55</v>
      </c>
      <c r="R164" s="2088"/>
      <c r="S164" s="2088"/>
      <c r="T164" s="2089"/>
      <c r="U164" s="2089"/>
      <c r="V164" s="2089"/>
      <c r="W164" s="2089"/>
      <c r="X164" s="2089"/>
      <c r="Y164" s="2089"/>
      <c r="Z164" s="2089"/>
      <c r="AA164" s="2089"/>
      <c r="AB164" s="1005"/>
      <c r="AC164" s="1005"/>
      <c r="AD164" s="1005"/>
      <c r="AE164" s="1005"/>
      <c r="AF164" s="1005"/>
      <c r="AG164" s="1006"/>
      <c r="AH164" s="968"/>
      <c r="AI164" s="968"/>
      <c r="AJ164" s="968"/>
      <c r="AK164" s="968"/>
      <c r="AL164" s="968"/>
      <c r="AM164" s="968"/>
      <c r="AN164" s="968"/>
      <c r="AO164" s="968"/>
      <c r="AP164" s="968" t="s">
        <v>254</v>
      </c>
      <c r="AQ164" s="968"/>
      <c r="AR164" s="968"/>
      <c r="AS164" s="968"/>
      <c r="AT164" s="968"/>
      <c r="AU164" s="968"/>
      <c r="AV164" s="968"/>
      <c r="AW164" s="968"/>
      <c r="AX164" s="968"/>
      <c r="AY164" s="968"/>
      <c r="AZ164" s="968"/>
      <c r="BA164" s="968"/>
      <c r="BB164" s="968"/>
      <c r="BC164" s="968"/>
      <c r="BD164" s="968"/>
      <c r="BE164" s="971"/>
    </row>
    <row r="165" spans="1:57" ht="15.75" customHeight="1">
      <c r="A165" s="968"/>
      <c r="B165" s="968"/>
      <c r="C165" s="2086" t="s">
        <v>2034</v>
      </c>
      <c r="D165" s="2087"/>
      <c r="E165" s="2087"/>
      <c r="F165" s="2087"/>
      <c r="G165" s="2087"/>
      <c r="H165" s="2087"/>
      <c r="I165" s="2087"/>
      <c r="J165" s="2087"/>
      <c r="K165" s="2087"/>
      <c r="L165" s="2087"/>
      <c r="M165" s="2087"/>
      <c r="N165" s="2087"/>
      <c r="O165" s="2087"/>
      <c r="P165" s="2087"/>
      <c r="Q165" s="2088">
        <v>55</v>
      </c>
      <c r="R165" s="2088"/>
      <c r="S165" s="2088"/>
      <c r="T165" s="2090"/>
      <c r="U165" s="2090"/>
      <c r="V165" s="2090"/>
      <c r="W165" s="2090"/>
      <c r="X165" s="2090"/>
      <c r="Y165" s="2090"/>
      <c r="Z165" s="2090"/>
      <c r="AA165" s="2090"/>
      <c r="AB165" s="1005"/>
      <c r="AC165" s="1005"/>
      <c r="AD165" s="1005"/>
      <c r="AE165" s="1005"/>
      <c r="AF165" s="1005"/>
      <c r="AG165" s="1006"/>
      <c r="AH165" s="968"/>
      <c r="AI165" s="968"/>
      <c r="AJ165" s="968"/>
      <c r="AK165" s="968"/>
      <c r="AL165" s="968"/>
      <c r="AM165" s="968"/>
      <c r="AN165" s="968"/>
      <c r="AO165" s="968"/>
      <c r="AP165" s="968"/>
      <c r="AQ165" s="968"/>
      <c r="AR165" s="968"/>
      <c r="AS165" s="968"/>
      <c r="AT165" s="968"/>
      <c r="AU165" s="968"/>
      <c r="AV165" s="968"/>
      <c r="AW165" s="968"/>
      <c r="AX165" s="968"/>
      <c r="AY165" s="968"/>
      <c r="AZ165" s="968"/>
      <c r="BA165" s="968"/>
      <c r="BB165" s="968"/>
      <c r="BC165" s="968"/>
      <c r="BD165" s="968"/>
      <c r="BE165" s="971"/>
    </row>
    <row r="166" spans="1:57" ht="15.75" customHeight="1">
      <c r="A166" s="968"/>
      <c r="B166" s="968"/>
      <c r="C166" s="2086" t="s">
        <v>2035</v>
      </c>
      <c r="D166" s="2087"/>
      <c r="E166" s="2087"/>
      <c r="F166" s="2087"/>
      <c r="G166" s="2087"/>
      <c r="H166" s="2087"/>
      <c r="I166" s="2087"/>
      <c r="J166" s="2087"/>
      <c r="K166" s="2087"/>
      <c r="L166" s="2087"/>
      <c r="M166" s="2087"/>
      <c r="N166" s="2087"/>
      <c r="O166" s="2087"/>
      <c r="P166" s="2087"/>
      <c r="Q166" s="2088">
        <v>55</v>
      </c>
      <c r="R166" s="2088"/>
      <c r="S166" s="2088"/>
      <c r="T166" s="2089"/>
      <c r="U166" s="2089"/>
      <c r="V166" s="2089"/>
      <c r="W166" s="2089"/>
      <c r="X166" s="2089"/>
      <c r="Y166" s="2089"/>
      <c r="Z166" s="2089"/>
      <c r="AA166" s="2089"/>
      <c r="AB166" s="1005"/>
      <c r="AC166" s="1005"/>
      <c r="AD166" s="1005"/>
      <c r="AE166" s="1005"/>
      <c r="AF166" s="1005"/>
      <c r="AG166" s="1006"/>
      <c r="AH166" s="968"/>
      <c r="AI166" s="968"/>
      <c r="AJ166" s="968"/>
      <c r="AK166" s="968"/>
      <c r="AL166" s="968"/>
      <c r="AM166" s="968"/>
      <c r="AN166" s="968"/>
      <c r="AO166" s="968"/>
      <c r="AP166" s="968"/>
      <c r="AQ166" s="968"/>
      <c r="AR166" s="968"/>
      <c r="AS166" s="968"/>
      <c r="AT166" s="968"/>
      <c r="AU166" s="968"/>
      <c r="AV166" s="968"/>
      <c r="AW166" s="968"/>
      <c r="AX166" s="968"/>
      <c r="AY166" s="968"/>
      <c r="AZ166" s="968"/>
      <c r="BA166" s="968"/>
      <c r="BB166" s="968"/>
      <c r="BC166" s="968"/>
      <c r="BD166" s="968"/>
      <c r="BE166" s="971"/>
    </row>
    <row r="167" spans="1:57" ht="15.75" customHeight="1">
      <c r="A167" s="968"/>
      <c r="B167" s="968"/>
      <c r="C167" s="2086" t="s">
        <v>1955</v>
      </c>
      <c r="D167" s="2087"/>
      <c r="E167" s="2087"/>
      <c r="F167" s="2087"/>
      <c r="G167" s="2087"/>
      <c r="H167" s="2087"/>
      <c r="I167" s="2087"/>
      <c r="J167" s="2087"/>
      <c r="K167" s="2087"/>
      <c r="L167" s="2087"/>
      <c r="M167" s="2087"/>
      <c r="N167" s="2087"/>
      <c r="O167" s="2087"/>
      <c r="P167" s="2087"/>
      <c r="Q167" s="2088">
        <v>55</v>
      </c>
      <c r="R167" s="2088"/>
      <c r="S167" s="2088"/>
      <c r="T167" s="2089"/>
      <c r="U167" s="2089"/>
      <c r="V167" s="2089"/>
      <c r="W167" s="2089"/>
      <c r="X167" s="2089"/>
      <c r="Y167" s="2089"/>
      <c r="Z167" s="2089"/>
      <c r="AA167" s="2089"/>
      <c r="AB167" s="2092">
        <v>0</v>
      </c>
      <c r="AC167" s="2092"/>
      <c r="AD167" s="2092"/>
      <c r="AE167" s="2092"/>
      <c r="AF167" s="2092"/>
      <c r="AG167" s="2093"/>
      <c r="AH167" s="968"/>
      <c r="AI167" s="968"/>
      <c r="AJ167" s="968"/>
      <c r="AK167" s="968"/>
      <c r="AL167" s="968"/>
      <c r="AM167" s="968"/>
      <c r="AN167" s="968"/>
      <c r="AO167" s="968"/>
      <c r="AP167" s="968"/>
      <c r="AQ167" s="968"/>
      <c r="AR167" s="968"/>
      <c r="AS167" s="968"/>
      <c r="AT167" s="968"/>
      <c r="AU167" s="968"/>
      <c r="AV167" s="968"/>
      <c r="AW167" s="968"/>
      <c r="AX167" s="968"/>
      <c r="AY167" s="968"/>
      <c r="AZ167" s="968"/>
      <c r="BA167" s="968"/>
      <c r="BB167" s="968"/>
      <c r="BC167" s="968"/>
      <c r="BD167" s="968"/>
      <c r="BE167" s="971"/>
    </row>
    <row r="168" spans="1:57" ht="15.75" customHeight="1">
      <c r="A168" s="968"/>
      <c r="B168" s="968"/>
      <c r="C168" s="2086" t="s">
        <v>233</v>
      </c>
      <c r="D168" s="2087"/>
      <c r="E168" s="2087"/>
      <c r="F168" s="2094" t="s">
        <v>2036</v>
      </c>
      <c r="G168" s="2094"/>
      <c r="H168" s="2094"/>
      <c r="I168" s="2094"/>
      <c r="J168" s="2094"/>
      <c r="K168" s="2094"/>
      <c r="L168" s="2094"/>
      <c r="M168" s="2094"/>
      <c r="N168" s="2094"/>
      <c r="O168" s="2094"/>
      <c r="P168" s="2094"/>
      <c r="Q168" s="2088">
        <v>55</v>
      </c>
      <c r="R168" s="2088"/>
      <c r="S168" s="2088"/>
      <c r="T168" s="2090"/>
      <c r="U168" s="2090"/>
      <c r="V168" s="2090"/>
      <c r="W168" s="2090"/>
      <c r="X168" s="2090"/>
      <c r="Y168" s="2090"/>
      <c r="Z168" s="2090"/>
      <c r="AA168" s="2090"/>
      <c r="AB168" s="2092">
        <v>0</v>
      </c>
      <c r="AC168" s="2092"/>
      <c r="AD168" s="2092"/>
      <c r="AE168" s="2092"/>
      <c r="AF168" s="2092"/>
      <c r="AG168" s="2093"/>
      <c r="AH168" s="968"/>
      <c r="AI168" s="968"/>
      <c r="AJ168" s="968"/>
      <c r="AK168" s="968"/>
      <c r="AL168" s="968"/>
      <c r="AM168" s="968"/>
      <c r="AN168" s="968"/>
      <c r="AO168" s="968"/>
      <c r="AP168" s="968"/>
      <c r="AQ168" s="968"/>
      <c r="AR168" s="968"/>
      <c r="AS168" s="968"/>
      <c r="AT168" s="968"/>
      <c r="AU168" s="968"/>
      <c r="AV168" s="968"/>
      <c r="AW168" s="968"/>
      <c r="AX168" s="968"/>
      <c r="AY168" s="968"/>
      <c r="AZ168" s="968"/>
      <c r="BA168" s="968"/>
      <c r="BB168" s="968"/>
      <c r="BC168" s="968"/>
      <c r="BD168" s="968"/>
      <c r="BE168" s="971"/>
    </row>
    <row r="169" spans="1:57" ht="15.75" customHeight="1">
      <c r="A169" s="968"/>
      <c r="B169" s="968"/>
      <c r="C169" s="2086" t="s">
        <v>233</v>
      </c>
      <c r="D169" s="2087"/>
      <c r="E169" s="2087"/>
      <c r="F169" s="2094" t="s">
        <v>2036</v>
      </c>
      <c r="G169" s="2094"/>
      <c r="H169" s="2094"/>
      <c r="I169" s="2094"/>
      <c r="J169" s="2094"/>
      <c r="K169" s="2094"/>
      <c r="L169" s="2094"/>
      <c r="M169" s="2094"/>
      <c r="N169" s="2094"/>
      <c r="O169" s="2094"/>
      <c r="P169" s="2094"/>
      <c r="Q169" s="2088">
        <v>55</v>
      </c>
      <c r="R169" s="2088"/>
      <c r="S169" s="2088"/>
      <c r="T169" s="2090"/>
      <c r="U169" s="2090"/>
      <c r="V169" s="2090"/>
      <c r="W169" s="2090"/>
      <c r="X169" s="2090"/>
      <c r="Y169" s="2090"/>
      <c r="Z169" s="2090"/>
      <c r="AA169" s="2090"/>
      <c r="AB169" s="2092">
        <v>0</v>
      </c>
      <c r="AC169" s="2092"/>
      <c r="AD169" s="2092"/>
      <c r="AE169" s="2092"/>
      <c r="AF169" s="2092"/>
      <c r="AG169" s="2093"/>
      <c r="AH169" s="968"/>
      <c r="AI169" s="968"/>
      <c r="AJ169" s="968"/>
      <c r="AK169" s="968" t="s">
        <v>254</v>
      </c>
      <c r="AL169" s="968"/>
      <c r="AM169" s="968"/>
      <c r="AN169" s="968"/>
      <c r="AO169" s="968"/>
      <c r="AP169" s="968"/>
      <c r="AQ169" s="968"/>
      <c r="AR169" s="968"/>
      <c r="AS169" s="968"/>
      <c r="AT169" s="968"/>
      <c r="AU169" s="968"/>
      <c r="AV169" s="968"/>
      <c r="AW169" s="968"/>
      <c r="AX169" s="968"/>
      <c r="AY169" s="968"/>
      <c r="AZ169" s="968"/>
      <c r="BA169" s="968"/>
      <c r="BB169" s="968"/>
      <c r="BC169" s="968"/>
      <c r="BD169" s="968"/>
      <c r="BE169" s="971"/>
    </row>
    <row r="170" spans="1:57" ht="15.75" customHeight="1" thickBot="1">
      <c r="A170" s="968"/>
      <c r="B170" s="968"/>
      <c r="C170" s="2095" t="s">
        <v>233</v>
      </c>
      <c r="D170" s="2096"/>
      <c r="E170" s="2096"/>
      <c r="F170" s="2097" t="s">
        <v>2036</v>
      </c>
      <c r="G170" s="2097"/>
      <c r="H170" s="2097"/>
      <c r="I170" s="2097"/>
      <c r="J170" s="2097"/>
      <c r="K170" s="2097"/>
      <c r="L170" s="2097"/>
      <c r="M170" s="2097"/>
      <c r="N170" s="2097"/>
      <c r="O170" s="2097"/>
      <c r="P170" s="2097"/>
      <c r="Q170" s="2098">
        <v>55</v>
      </c>
      <c r="R170" s="2098"/>
      <c r="S170" s="2098"/>
      <c r="T170" s="2099"/>
      <c r="U170" s="2099"/>
      <c r="V170" s="2099"/>
      <c r="W170" s="2099"/>
      <c r="X170" s="2099"/>
      <c r="Y170" s="2099"/>
      <c r="Z170" s="2099"/>
      <c r="AA170" s="2099"/>
      <c r="AB170" s="2100">
        <v>0</v>
      </c>
      <c r="AC170" s="2100"/>
      <c r="AD170" s="2100"/>
      <c r="AE170" s="2100"/>
      <c r="AF170" s="2100"/>
      <c r="AG170" s="2101"/>
      <c r="AH170" s="968"/>
      <c r="AI170" s="968"/>
      <c r="AJ170" s="968"/>
      <c r="AK170" s="968"/>
      <c r="AL170" s="968"/>
      <c r="AM170" s="968"/>
      <c r="AN170" s="968"/>
      <c r="AO170" s="968"/>
      <c r="AP170" s="968"/>
      <c r="AQ170" s="968"/>
      <c r="AR170" s="968"/>
      <c r="AS170" s="968"/>
      <c r="AT170" s="968"/>
      <c r="AU170" s="968"/>
      <c r="AV170" s="968"/>
      <c r="AW170" s="968"/>
      <c r="AX170" s="968"/>
      <c r="AY170" s="968"/>
      <c r="AZ170" s="968"/>
      <c r="BA170" s="968"/>
      <c r="BB170" s="968"/>
      <c r="BC170" s="968"/>
      <c r="BD170" s="968"/>
      <c r="BE170" s="971"/>
    </row>
    <row r="171" spans="1:57" ht="15.75" customHeight="1" thickBot="1">
      <c r="A171" s="968"/>
      <c r="B171" s="968"/>
      <c r="C171" s="968"/>
      <c r="D171" s="968"/>
      <c r="E171" s="968"/>
      <c r="F171" s="968"/>
      <c r="G171" s="968"/>
      <c r="H171" s="968"/>
      <c r="I171" s="968"/>
      <c r="J171" s="968"/>
      <c r="K171" s="968"/>
      <c r="L171" s="968"/>
      <c r="M171" s="968"/>
      <c r="N171" s="968"/>
      <c r="O171" s="968"/>
      <c r="P171" s="968"/>
      <c r="Q171" s="968"/>
      <c r="R171" s="968"/>
      <c r="S171" s="968"/>
      <c r="T171" s="968"/>
      <c r="U171" s="968"/>
      <c r="V171" s="968"/>
      <c r="W171" s="968"/>
      <c r="X171" s="968"/>
      <c r="Y171" s="968"/>
      <c r="Z171" s="968"/>
      <c r="AA171" s="968"/>
      <c r="AB171" s="968"/>
      <c r="AC171" s="968"/>
      <c r="AD171" s="968"/>
      <c r="AE171" s="968"/>
      <c r="AF171" s="968"/>
      <c r="AG171" s="968"/>
      <c r="AH171" s="968"/>
      <c r="AI171" s="968"/>
      <c r="AJ171" s="968"/>
      <c r="AK171" s="968"/>
      <c r="AL171" s="968"/>
      <c r="AM171" s="968"/>
      <c r="AN171" s="968"/>
      <c r="AO171" s="968"/>
      <c r="AP171" s="968"/>
      <c r="AQ171" s="968"/>
      <c r="AR171" s="968"/>
      <c r="AS171" s="968"/>
      <c r="AT171" s="968"/>
      <c r="AU171" s="968"/>
      <c r="AV171" s="968"/>
      <c r="AW171" s="968"/>
      <c r="AX171" s="968"/>
      <c r="AY171" s="968"/>
      <c r="AZ171" s="968"/>
      <c r="BA171" s="968"/>
      <c r="BB171" s="968"/>
      <c r="BC171" s="968"/>
      <c r="BD171" s="968"/>
      <c r="BE171" s="971"/>
    </row>
    <row r="172" spans="1:57" ht="15.75" customHeight="1">
      <c r="A172" s="968"/>
      <c r="B172" s="968"/>
      <c r="C172" s="1983" t="s">
        <v>2037</v>
      </c>
      <c r="D172" s="1984"/>
      <c r="E172" s="1984"/>
      <c r="F172" s="1984"/>
      <c r="G172" s="1984"/>
      <c r="H172" s="1984"/>
      <c r="I172" s="1984"/>
      <c r="J172" s="1984"/>
      <c r="K172" s="1984"/>
      <c r="L172" s="1984"/>
      <c r="M172" s="1984"/>
      <c r="N172" s="2034"/>
      <c r="O172" s="968"/>
      <c r="P172" s="2102" t="s">
        <v>2038</v>
      </c>
      <c r="Q172" s="2103"/>
      <c r="R172" s="2103"/>
      <c r="S172" s="2103"/>
      <c r="T172" s="2103"/>
      <c r="U172" s="2103"/>
      <c r="V172" s="2103"/>
      <c r="W172" s="2103"/>
      <c r="X172" s="2103"/>
      <c r="Y172" s="2103"/>
      <c r="Z172" s="2103"/>
      <c r="AA172" s="2103"/>
      <c r="AB172" s="2103"/>
      <c r="AC172" s="2103"/>
      <c r="AD172" s="2103"/>
      <c r="AE172" s="2103"/>
      <c r="AF172" s="2103"/>
      <c r="AG172" s="2103"/>
      <c r="AH172" s="2103"/>
      <c r="AI172" s="2103"/>
      <c r="AJ172" s="2103"/>
      <c r="AK172" s="2103"/>
      <c r="AL172" s="2103"/>
      <c r="AM172" s="2103"/>
      <c r="AN172" s="2103"/>
      <c r="AO172" s="2104"/>
      <c r="AP172" s="968"/>
      <c r="AQ172" s="968"/>
      <c r="AR172" s="968"/>
      <c r="AS172" s="968"/>
      <c r="AT172" s="968"/>
      <c r="AU172" s="968"/>
      <c r="AV172" s="968"/>
      <c r="AW172" s="968"/>
      <c r="AX172" s="968"/>
      <c r="AY172" s="968"/>
      <c r="AZ172" s="968"/>
      <c r="BA172" s="968"/>
      <c r="BB172" s="968"/>
      <c r="BC172" s="968"/>
      <c r="BD172" s="968"/>
      <c r="BE172" s="971"/>
    </row>
    <row r="173" spans="1:57" ht="15.75" customHeight="1">
      <c r="A173" s="968"/>
      <c r="B173" s="968"/>
      <c r="C173" s="2082" t="s">
        <v>2039</v>
      </c>
      <c r="D173" s="2083"/>
      <c r="E173" s="2083"/>
      <c r="F173" s="2083"/>
      <c r="G173" s="2083"/>
      <c r="H173" s="2083"/>
      <c r="I173" s="2083" t="s">
        <v>2040</v>
      </c>
      <c r="J173" s="2083"/>
      <c r="K173" s="2083"/>
      <c r="L173" s="2083"/>
      <c r="M173" s="2083"/>
      <c r="N173" s="2091"/>
      <c r="O173" s="968"/>
      <c r="P173" s="2003" t="s">
        <v>1982</v>
      </c>
      <c r="Q173" s="2004"/>
      <c r="R173" s="2004"/>
      <c r="S173" s="2004"/>
      <c r="T173" s="2004"/>
      <c r="U173" s="2004"/>
      <c r="V173" s="2004"/>
      <c r="W173" s="2004"/>
      <c r="X173" s="2004"/>
      <c r="Y173" s="2004"/>
      <c r="Z173" s="2004"/>
      <c r="AA173" s="2004"/>
      <c r="AB173" s="2004"/>
      <c r="AC173" s="2004"/>
      <c r="AD173" s="2004"/>
      <c r="AE173" s="2004"/>
      <c r="AF173" s="2004"/>
      <c r="AG173" s="2004"/>
      <c r="AH173" s="2004"/>
      <c r="AI173" s="2004"/>
      <c r="AJ173" s="2004"/>
      <c r="AK173" s="2004"/>
      <c r="AL173" s="2004"/>
      <c r="AM173" s="2004"/>
      <c r="AN173" s="2004"/>
      <c r="AO173" s="2005"/>
      <c r="AP173" s="968"/>
      <c r="AQ173" s="968"/>
      <c r="AR173" s="968"/>
      <c r="AS173" s="968"/>
      <c r="AT173" s="968"/>
      <c r="AU173" s="968"/>
      <c r="AV173" s="968"/>
      <c r="AW173" s="968"/>
      <c r="AX173" s="968"/>
      <c r="AY173" s="968"/>
      <c r="AZ173" s="968"/>
      <c r="BA173" s="968"/>
      <c r="BB173" s="968"/>
      <c r="BC173" s="968"/>
      <c r="BD173" s="968"/>
      <c r="BE173" s="971"/>
    </row>
    <row r="174" spans="1:57" ht="15.75" customHeight="1">
      <c r="A174" s="968"/>
      <c r="B174" s="968"/>
      <c r="C174" s="2009"/>
      <c r="D174" s="1941"/>
      <c r="E174" s="1941"/>
      <c r="F174" s="1941"/>
      <c r="G174" s="1941"/>
      <c r="H174" s="1941"/>
      <c r="I174" s="2089"/>
      <c r="J174" s="2089"/>
      <c r="K174" s="2089"/>
      <c r="L174" s="2089"/>
      <c r="M174" s="2089"/>
      <c r="N174" s="2105"/>
      <c r="O174" s="968"/>
      <c r="P174" s="2003"/>
      <c r="Q174" s="2004"/>
      <c r="R174" s="2004"/>
      <c r="S174" s="2004"/>
      <c r="T174" s="2004"/>
      <c r="U174" s="2004"/>
      <c r="V174" s="2004"/>
      <c r="W174" s="2004"/>
      <c r="X174" s="2004"/>
      <c r="Y174" s="2004"/>
      <c r="Z174" s="2004"/>
      <c r="AA174" s="2004"/>
      <c r="AB174" s="2004"/>
      <c r="AC174" s="2004"/>
      <c r="AD174" s="2004"/>
      <c r="AE174" s="2004"/>
      <c r="AF174" s="2004"/>
      <c r="AG174" s="2004"/>
      <c r="AH174" s="2004"/>
      <c r="AI174" s="2004"/>
      <c r="AJ174" s="2004"/>
      <c r="AK174" s="2004"/>
      <c r="AL174" s="2004"/>
      <c r="AM174" s="2004"/>
      <c r="AN174" s="2004"/>
      <c r="AO174" s="2005"/>
      <c r="AP174" s="968"/>
      <c r="AQ174" s="968"/>
      <c r="AR174" s="968"/>
      <c r="AS174" s="968"/>
      <c r="AT174" s="968"/>
      <c r="AU174" s="968"/>
      <c r="AV174" s="968"/>
      <c r="AW174" s="968"/>
      <c r="AX174" s="968"/>
      <c r="AY174" s="968"/>
      <c r="AZ174" s="968"/>
      <c r="BA174" s="968"/>
      <c r="BB174" s="968"/>
      <c r="BC174" s="968"/>
      <c r="BD174" s="968"/>
      <c r="BE174" s="971"/>
    </row>
    <row r="175" spans="1:57" ht="15.75" customHeight="1">
      <c r="A175" s="968"/>
      <c r="B175" s="968"/>
      <c r="C175" s="2009"/>
      <c r="D175" s="1941"/>
      <c r="E175" s="1941"/>
      <c r="F175" s="1941"/>
      <c r="G175" s="1941"/>
      <c r="H175" s="1941"/>
      <c r="I175" s="2089"/>
      <c r="J175" s="2089"/>
      <c r="K175" s="2089"/>
      <c r="L175" s="2089"/>
      <c r="M175" s="2089"/>
      <c r="N175" s="2105"/>
      <c r="O175" s="968"/>
      <c r="P175" s="2003"/>
      <c r="Q175" s="2004"/>
      <c r="R175" s="2004"/>
      <c r="S175" s="2004"/>
      <c r="T175" s="2004"/>
      <c r="U175" s="2004"/>
      <c r="V175" s="2004"/>
      <c r="W175" s="2004"/>
      <c r="X175" s="2004"/>
      <c r="Y175" s="2004"/>
      <c r="Z175" s="2004"/>
      <c r="AA175" s="2004"/>
      <c r="AB175" s="2004"/>
      <c r="AC175" s="2004"/>
      <c r="AD175" s="2004"/>
      <c r="AE175" s="2004"/>
      <c r="AF175" s="2004"/>
      <c r="AG175" s="2004"/>
      <c r="AH175" s="2004"/>
      <c r="AI175" s="2004"/>
      <c r="AJ175" s="2004"/>
      <c r="AK175" s="2004"/>
      <c r="AL175" s="2004"/>
      <c r="AM175" s="2004"/>
      <c r="AN175" s="2004"/>
      <c r="AO175" s="2005"/>
      <c r="AP175" s="968"/>
      <c r="AQ175" s="968"/>
      <c r="AR175" s="968"/>
      <c r="AS175" s="968"/>
      <c r="AT175" s="968"/>
      <c r="AU175" s="968"/>
      <c r="AV175" s="968"/>
      <c r="AW175" s="968"/>
      <c r="AX175" s="968"/>
      <c r="AY175" s="968"/>
      <c r="AZ175" s="968"/>
      <c r="BA175" s="968"/>
      <c r="BB175" s="968"/>
      <c r="BC175" s="968"/>
      <c r="BD175" s="968"/>
      <c r="BE175" s="971"/>
    </row>
    <row r="176" spans="1:57" ht="15.75" customHeight="1">
      <c r="A176" s="968"/>
      <c r="B176" s="968"/>
      <c r="C176" s="2009"/>
      <c r="D176" s="1941"/>
      <c r="E176" s="1941"/>
      <c r="F176" s="1941"/>
      <c r="G176" s="1941"/>
      <c r="H176" s="1941"/>
      <c r="I176" s="2089"/>
      <c r="J176" s="2089"/>
      <c r="K176" s="2089"/>
      <c r="L176" s="2089"/>
      <c r="M176" s="2089"/>
      <c r="N176" s="2105"/>
      <c r="O176" s="968"/>
      <c r="P176" s="2003"/>
      <c r="Q176" s="2004"/>
      <c r="R176" s="2004"/>
      <c r="S176" s="2004"/>
      <c r="T176" s="2004"/>
      <c r="U176" s="2004"/>
      <c r="V176" s="2004"/>
      <c r="W176" s="2004"/>
      <c r="X176" s="2004"/>
      <c r="Y176" s="2004"/>
      <c r="Z176" s="2004"/>
      <c r="AA176" s="2004"/>
      <c r="AB176" s="2004"/>
      <c r="AC176" s="2004"/>
      <c r="AD176" s="2004"/>
      <c r="AE176" s="2004"/>
      <c r="AF176" s="2004"/>
      <c r="AG176" s="2004"/>
      <c r="AH176" s="2004"/>
      <c r="AI176" s="2004"/>
      <c r="AJ176" s="2004"/>
      <c r="AK176" s="2004"/>
      <c r="AL176" s="2004"/>
      <c r="AM176" s="2004"/>
      <c r="AN176" s="2004"/>
      <c r="AO176" s="2005"/>
      <c r="AP176" s="968"/>
      <c r="AQ176" s="968"/>
      <c r="AR176" s="968"/>
      <c r="AS176" s="968"/>
      <c r="AT176" s="968"/>
      <c r="AU176" s="968"/>
      <c r="AV176" s="968"/>
      <c r="AW176" s="968"/>
      <c r="AX176" s="968"/>
      <c r="AY176" s="968"/>
      <c r="AZ176" s="968"/>
      <c r="BA176" s="968"/>
      <c r="BB176" s="968"/>
      <c r="BC176" s="968"/>
      <c r="BD176" s="968"/>
      <c r="BE176" s="971"/>
    </row>
    <row r="177" spans="1:57" ht="15.75" customHeight="1">
      <c r="A177" s="968"/>
      <c r="B177" s="968"/>
      <c r="C177" s="2009"/>
      <c r="D177" s="1941"/>
      <c r="E177" s="1941"/>
      <c r="F177" s="1941"/>
      <c r="G177" s="1941"/>
      <c r="H177" s="1941"/>
      <c r="I177" s="2089"/>
      <c r="J177" s="2089"/>
      <c r="K177" s="2089"/>
      <c r="L177" s="2089"/>
      <c r="M177" s="2089"/>
      <c r="N177" s="2105"/>
      <c r="O177" s="968"/>
      <c r="P177" s="2003"/>
      <c r="Q177" s="2004"/>
      <c r="R177" s="2004"/>
      <c r="S177" s="2004"/>
      <c r="T177" s="2004"/>
      <c r="U177" s="2004"/>
      <c r="V177" s="2004"/>
      <c r="W177" s="2004"/>
      <c r="X177" s="2004"/>
      <c r="Y177" s="2004"/>
      <c r="Z177" s="2004"/>
      <c r="AA177" s="2004"/>
      <c r="AB177" s="2004"/>
      <c r="AC177" s="2004"/>
      <c r="AD177" s="2004"/>
      <c r="AE177" s="2004"/>
      <c r="AF177" s="2004"/>
      <c r="AG177" s="2004"/>
      <c r="AH177" s="2004"/>
      <c r="AI177" s="2004"/>
      <c r="AJ177" s="2004"/>
      <c r="AK177" s="2004"/>
      <c r="AL177" s="2004"/>
      <c r="AM177" s="2004"/>
      <c r="AN177" s="2004"/>
      <c r="AO177" s="2005"/>
      <c r="AP177" s="968"/>
      <c r="AQ177" s="968"/>
      <c r="AR177" s="968"/>
      <c r="AS177" s="968"/>
      <c r="AT177" s="968"/>
      <c r="AU177" s="968"/>
      <c r="AV177" s="968"/>
      <c r="AW177" s="968"/>
      <c r="AX177" s="968"/>
      <c r="AY177" s="968"/>
      <c r="AZ177" s="968"/>
      <c r="BA177" s="968"/>
      <c r="BB177" s="968"/>
      <c r="BC177" s="968"/>
      <c r="BD177" s="968"/>
      <c r="BE177" s="971"/>
    </row>
    <row r="178" spans="1:57" ht="15.75" customHeight="1">
      <c r="A178" s="968"/>
      <c r="B178" s="968"/>
      <c r="C178" s="2009"/>
      <c r="D178" s="1941"/>
      <c r="E178" s="1941"/>
      <c r="F178" s="1941"/>
      <c r="G178" s="1941"/>
      <c r="H178" s="1941"/>
      <c r="I178" s="2089"/>
      <c r="J178" s="2089"/>
      <c r="K178" s="2089"/>
      <c r="L178" s="2089"/>
      <c r="M178" s="2089"/>
      <c r="N178" s="2105"/>
      <c r="O178" s="968"/>
      <c r="P178" s="2003"/>
      <c r="Q178" s="2004"/>
      <c r="R178" s="2004"/>
      <c r="S178" s="2004"/>
      <c r="T178" s="2004"/>
      <c r="U178" s="2004"/>
      <c r="V178" s="2004"/>
      <c r="W178" s="2004"/>
      <c r="X178" s="2004"/>
      <c r="Y178" s="2004"/>
      <c r="Z178" s="2004"/>
      <c r="AA178" s="2004"/>
      <c r="AB178" s="2004"/>
      <c r="AC178" s="2004"/>
      <c r="AD178" s="2004"/>
      <c r="AE178" s="2004"/>
      <c r="AF178" s="2004"/>
      <c r="AG178" s="2004"/>
      <c r="AH178" s="2004"/>
      <c r="AI178" s="2004"/>
      <c r="AJ178" s="2004"/>
      <c r="AK178" s="2004"/>
      <c r="AL178" s="2004"/>
      <c r="AM178" s="2004"/>
      <c r="AN178" s="2004"/>
      <c r="AO178" s="2005"/>
      <c r="AP178" s="968"/>
      <c r="AQ178" s="968"/>
      <c r="AR178" s="968"/>
      <c r="AS178" s="968"/>
      <c r="AT178" s="968"/>
      <c r="AU178" s="968"/>
      <c r="AV178" s="968"/>
      <c r="AW178" s="968"/>
      <c r="AX178" s="968"/>
      <c r="AY178" s="968"/>
      <c r="AZ178" s="968"/>
      <c r="BA178" s="968"/>
      <c r="BB178" s="968"/>
      <c r="BC178" s="968"/>
      <c r="BD178" s="968"/>
      <c r="BE178" s="971"/>
    </row>
    <row r="179" spans="1:57" ht="15.75" customHeight="1">
      <c r="A179" s="968"/>
      <c r="B179" s="968"/>
      <c r="C179" s="2009"/>
      <c r="D179" s="1941"/>
      <c r="E179" s="1941"/>
      <c r="F179" s="1941"/>
      <c r="G179" s="1941"/>
      <c r="H179" s="1941"/>
      <c r="I179" s="2089"/>
      <c r="J179" s="2089"/>
      <c r="K179" s="2089"/>
      <c r="L179" s="2089"/>
      <c r="M179" s="2089"/>
      <c r="N179" s="2105"/>
      <c r="O179" s="968"/>
      <c r="P179" s="2003"/>
      <c r="Q179" s="2004"/>
      <c r="R179" s="2004"/>
      <c r="S179" s="2004"/>
      <c r="T179" s="2004"/>
      <c r="U179" s="2004"/>
      <c r="V179" s="2004"/>
      <c r="W179" s="2004"/>
      <c r="X179" s="2004"/>
      <c r="Y179" s="2004"/>
      <c r="Z179" s="2004"/>
      <c r="AA179" s="2004"/>
      <c r="AB179" s="2004"/>
      <c r="AC179" s="2004"/>
      <c r="AD179" s="2004"/>
      <c r="AE179" s="2004"/>
      <c r="AF179" s="2004"/>
      <c r="AG179" s="2004"/>
      <c r="AH179" s="2004"/>
      <c r="AI179" s="2004"/>
      <c r="AJ179" s="2004"/>
      <c r="AK179" s="2004"/>
      <c r="AL179" s="2004"/>
      <c r="AM179" s="2004"/>
      <c r="AN179" s="2004"/>
      <c r="AO179" s="2005"/>
      <c r="AP179" s="968"/>
      <c r="AQ179" s="968"/>
      <c r="AR179" s="968"/>
      <c r="AS179" s="968"/>
      <c r="AT179" s="968"/>
      <c r="AU179" s="968"/>
      <c r="AV179" s="968"/>
      <c r="AW179" s="968"/>
      <c r="AX179" s="968"/>
      <c r="AY179" s="968"/>
      <c r="AZ179" s="968"/>
      <c r="BA179" s="968"/>
      <c r="BB179" s="968"/>
      <c r="BC179" s="968"/>
      <c r="BD179" s="968"/>
      <c r="BE179" s="971"/>
    </row>
    <row r="180" spans="1:57" ht="15.75" customHeight="1" thickBot="1">
      <c r="A180" s="968"/>
      <c r="B180" s="968"/>
      <c r="C180" s="2106"/>
      <c r="D180" s="2107"/>
      <c r="E180" s="2107"/>
      <c r="F180" s="2107"/>
      <c r="G180" s="2107"/>
      <c r="H180" s="2107"/>
      <c r="I180" s="2108"/>
      <c r="J180" s="2108"/>
      <c r="K180" s="2108"/>
      <c r="L180" s="2108"/>
      <c r="M180" s="2108"/>
      <c r="N180" s="2109"/>
      <c r="O180" s="968"/>
      <c r="P180" s="2006"/>
      <c r="Q180" s="2007"/>
      <c r="R180" s="2007"/>
      <c r="S180" s="2007"/>
      <c r="T180" s="2007"/>
      <c r="U180" s="2007"/>
      <c r="V180" s="2007"/>
      <c r="W180" s="2007"/>
      <c r="X180" s="2007"/>
      <c r="Y180" s="2007"/>
      <c r="Z180" s="2007"/>
      <c r="AA180" s="2007"/>
      <c r="AB180" s="2007"/>
      <c r="AC180" s="2007"/>
      <c r="AD180" s="2007"/>
      <c r="AE180" s="2007"/>
      <c r="AF180" s="2007"/>
      <c r="AG180" s="2007"/>
      <c r="AH180" s="2007"/>
      <c r="AI180" s="2007"/>
      <c r="AJ180" s="2007"/>
      <c r="AK180" s="2007"/>
      <c r="AL180" s="2007"/>
      <c r="AM180" s="2007"/>
      <c r="AN180" s="2007"/>
      <c r="AO180" s="2008"/>
      <c r="AP180" s="968"/>
      <c r="AQ180" s="968"/>
      <c r="AR180" s="968"/>
      <c r="AS180" s="968"/>
      <c r="AT180" s="968"/>
      <c r="AU180" s="968"/>
      <c r="AV180" s="968"/>
      <c r="AW180" s="968"/>
      <c r="AX180" s="968"/>
      <c r="AY180" s="968"/>
      <c r="AZ180" s="968"/>
      <c r="BA180" s="968"/>
      <c r="BB180" s="968"/>
      <c r="BC180" s="968"/>
      <c r="BD180" s="968"/>
      <c r="BE180" s="971"/>
    </row>
    <row r="181" spans="1:57" ht="15.75" customHeight="1" thickBot="1">
      <c r="A181" s="968"/>
      <c r="B181" s="968"/>
      <c r="C181" s="968"/>
      <c r="D181" s="968"/>
      <c r="E181" s="968"/>
      <c r="F181" s="968"/>
      <c r="G181" s="968"/>
      <c r="H181" s="968"/>
      <c r="I181" s="968"/>
      <c r="J181" s="968"/>
      <c r="K181" s="968"/>
      <c r="L181" s="968"/>
      <c r="M181" s="968"/>
      <c r="N181" s="968"/>
      <c r="O181" s="968"/>
      <c r="P181" s="968"/>
      <c r="Q181" s="968"/>
      <c r="R181" s="968"/>
      <c r="S181" s="968"/>
      <c r="T181" s="968"/>
      <c r="U181" s="968"/>
      <c r="V181" s="968"/>
      <c r="W181" s="968"/>
      <c r="X181" s="968"/>
      <c r="Y181" s="968"/>
      <c r="Z181" s="968"/>
      <c r="AA181" s="968"/>
      <c r="AB181" s="968"/>
      <c r="AC181" s="968"/>
      <c r="AD181" s="968"/>
      <c r="AE181" s="968"/>
      <c r="AF181" s="968"/>
      <c r="AG181" s="968"/>
      <c r="AH181" s="968"/>
      <c r="AI181" s="968"/>
      <c r="AJ181" s="968"/>
      <c r="AK181" s="968"/>
      <c r="AL181" s="968"/>
      <c r="AM181" s="968"/>
      <c r="AN181" s="968"/>
      <c r="AO181" s="968"/>
      <c r="AP181" s="968"/>
      <c r="AQ181" s="968"/>
      <c r="AR181" s="968"/>
      <c r="AS181" s="968"/>
      <c r="AT181" s="968"/>
      <c r="AU181" s="968"/>
      <c r="AV181" s="968"/>
      <c r="AW181" s="968"/>
      <c r="AX181" s="968"/>
      <c r="AY181" s="968"/>
      <c r="AZ181" s="968"/>
      <c r="BA181" s="968"/>
      <c r="BB181" s="968"/>
      <c r="BC181" s="968"/>
      <c r="BD181" s="968"/>
      <c r="BE181" s="971"/>
    </row>
    <row r="182" spans="1:57" ht="15.75" customHeight="1">
      <c r="A182" s="968"/>
      <c r="B182" s="968"/>
      <c r="C182" s="2113" t="s">
        <v>2041</v>
      </c>
      <c r="D182" s="2114"/>
      <c r="E182" s="2114"/>
      <c r="F182" s="2114"/>
      <c r="G182" s="2114"/>
      <c r="H182" s="2114"/>
      <c r="I182" s="2114"/>
      <c r="J182" s="2114"/>
      <c r="K182" s="2114"/>
      <c r="L182" s="2114"/>
      <c r="M182" s="2114"/>
      <c r="N182" s="2114"/>
      <c r="O182" s="2114"/>
      <c r="P182" s="2114"/>
      <c r="Q182" s="2114"/>
      <c r="R182" s="2114"/>
      <c r="S182" s="2114"/>
      <c r="T182" s="2114"/>
      <c r="U182" s="2114"/>
      <c r="V182" s="2114"/>
      <c r="W182" s="2114"/>
      <c r="X182" s="2114"/>
      <c r="Y182" s="2114"/>
      <c r="Z182" s="2114"/>
      <c r="AA182" s="2114"/>
      <c r="AB182" s="2114"/>
      <c r="AC182" s="2114"/>
      <c r="AD182" s="2114"/>
      <c r="AE182" s="2115"/>
      <c r="AF182" s="968"/>
      <c r="AG182" s="968"/>
      <c r="AH182" s="2123"/>
      <c r="AI182" s="2123"/>
      <c r="AJ182" s="2123"/>
      <c r="AK182" s="2123"/>
      <c r="AL182" s="2123"/>
      <c r="AM182" s="2123"/>
      <c r="AN182" s="2123"/>
      <c r="AO182" s="2123"/>
      <c r="AP182" s="2123"/>
      <c r="AQ182" s="2123"/>
      <c r="AR182" s="2123"/>
      <c r="AS182" s="2123"/>
      <c r="AT182" s="2123"/>
      <c r="AU182" s="2123"/>
      <c r="AV182" s="2123"/>
      <c r="AW182" s="2123"/>
      <c r="AX182" s="2123"/>
      <c r="AY182" s="2123"/>
      <c r="AZ182" s="2123"/>
      <c r="BA182" s="2123"/>
      <c r="BB182" s="2123"/>
      <c r="BC182" s="2123"/>
      <c r="BD182" s="2123"/>
      <c r="BE182" s="2123"/>
    </row>
    <row r="183" spans="1:57" ht="15.75" customHeight="1" thickBot="1">
      <c r="A183" s="968"/>
      <c r="B183" s="968"/>
      <c r="C183" s="2116"/>
      <c r="D183" s="2117"/>
      <c r="E183" s="2117"/>
      <c r="F183" s="2117"/>
      <c r="G183" s="2117"/>
      <c r="H183" s="2117"/>
      <c r="I183" s="2117"/>
      <c r="J183" s="2117"/>
      <c r="K183" s="2117"/>
      <c r="L183" s="2117"/>
      <c r="M183" s="2117"/>
      <c r="N183" s="2117"/>
      <c r="O183" s="2117"/>
      <c r="P183" s="2117"/>
      <c r="Q183" s="2117"/>
      <c r="R183" s="2117"/>
      <c r="S183" s="2117"/>
      <c r="T183" s="2117"/>
      <c r="U183" s="2117"/>
      <c r="V183" s="2117"/>
      <c r="W183" s="2117"/>
      <c r="X183" s="2117"/>
      <c r="Y183" s="2117"/>
      <c r="Z183" s="2117"/>
      <c r="AA183" s="2117"/>
      <c r="AB183" s="2117"/>
      <c r="AC183" s="2117"/>
      <c r="AD183" s="2117"/>
      <c r="AE183" s="2118"/>
      <c r="AF183" s="968"/>
      <c r="AG183" s="968"/>
      <c r="AH183" s="2123"/>
      <c r="AI183" s="2123"/>
      <c r="AJ183" s="2123"/>
      <c r="AK183" s="2123"/>
      <c r="AL183" s="2123"/>
      <c r="AM183" s="2123"/>
      <c r="AN183" s="2123"/>
      <c r="AO183" s="2123"/>
      <c r="AP183" s="2123"/>
      <c r="AQ183" s="2123"/>
      <c r="AR183" s="2123"/>
      <c r="AS183" s="2123"/>
      <c r="AT183" s="2123"/>
      <c r="AU183" s="2123"/>
      <c r="AV183" s="2123"/>
      <c r="AW183" s="2123"/>
      <c r="AX183" s="2123"/>
      <c r="AY183" s="2123"/>
      <c r="AZ183" s="2123"/>
      <c r="BA183" s="2123"/>
      <c r="BB183" s="2123"/>
      <c r="BC183" s="2123"/>
      <c r="BD183" s="2123"/>
      <c r="BE183" s="2123"/>
    </row>
    <row r="184" spans="1:57" ht="15.75" customHeight="1">
      <c r="A184" s="968"/>
      <c r="B184" s="968"/>
      <c r="C184" s="1983" t="s">
        <v>2029</v>
      </c>
      <c r="D184" s="1984"/>
      <c r="E184" s="1984"/>
      <c r="F184" s="1984"/>
      <c r="G184" s="1984"/>
      <c r="H184" s="1984"/>
      <c r="I184" s="1984"/>
      <c r="J184" s="1984"/>
      <c r="K184" s="1984"/>
      <c r="L184" s="1984"/>
      <c r="M184" s="1984"/>
      <c r="N184" s="1984" t="s">
        <v>2042</v>
      </c>
      <c r="O184" s="1984"/>
      <c r="P184" s="1984"/>
      <c r="Q184" s="1984"/>
      <c r="R184" s="1984"/>
      <c r="S184" s="1984"/>
      <c r="T184" s="1984"/>
      <c r="U184" s="1935" t="s">
        <v>2029</v>
      </c>
      <c r="V184" s="1935"/>
      <c r="W184" s="1935"/>
      <c r="X184" s="1935"/>
      <c r="Y184" s="1935"/>
      <c r="Z184" s="1935"/>
      <c r="AA184" s="1935"/>
      <c r="AB184" s="1935"/>
      <c r="AC184" s="1935"/>
      <c r="AD184" s="1935"/>
      <c r="AE184" s="1936"/>
      <c r="AF184" s="968"/>
      <c r="AG184" s="968"/>
      <c r="AH184" s="2123"/>
      <c r="AI184" s="2123"/>
      <c r="AJ184" s="2123"/>
      <c r="AK184" s="2123"/>
      <c r="AL184" s="2123"/>
      <c r="AM184" s="2123"/>
      <c r="AN184" s="2123"/>
      <c r="AO184" s="2123"/>
      <c r="AP184" s="2123"/>
      <c r="AQ184" s="2123"/>
      <c r="AR184" s="2123"/>
      <c r="AS184" s="2123"/>
      <c r="AT184" s="2123"/>
      <c r="AU184" s="2123"/>
      <c r="AV184" s="2123"/>
      <c r="AW184" s="2123"/>
      <c r="AX184" s="2123"/>
      <c r="AY184" s="2123"/>
      <c r="AZ184" s="2123"/>
      <c r="BA184" s="2123"/>
      <c r="BB184" s="2123"/>
      <c r="BC184" s="2123"/>
      <c r="BD184" s="2123"/>
      <c r="BE184" s="2123"/>
    </row>
    <row r="185" spans="1:57" ht="15.75" customHeight="1">
      <c r="A185" s="968"/>
      <c r="B185" s="968"/>
      <c r="C185" s="2110" t="s">
        <v>2043</v>
      </c>
      <c r="D185" s="2111"/>
      <c r="E185" s="2111"/>
      <c r="F185" s="2111"/>
      <c r="G185" s="2111"/>
      <c r="H185" s="2111"/>
      <c r="I185" s="2111"/>
      <c r="J185" s="2111"/>
      <c r="K185" s="2111"/>
      <c r="L185" s="2111"/>
      <c r="M185" s="2111"/>
      <c r="N185" s="2112">
        <f>'Sources and Uses Budget'!B105</f>
        <v>38600081</v>
      </c>
      <c r="O185" s="2112"/>
      <c r="P185" s="2112"/>
      <c r="Q185" s="2112"/>
      <c r="R185" s="2112"/>
      <c r="S185" s="2112"/>
      <c r="T185" s="2112"/>
      <c r="U185" s="2124"/>
      <c r="V185" s="2124"/>
      <c r="W185" s="2124"/>
      <c r="X185" s="2124"/>
      <c r="Y185" s="2124"/>
      <c r="Z185" s="2124"/>
      <c r="AA185" s="2124"/>
      <c r="AB185" s="2124"/>
      <c r="AC185" s="2124"/>
      <c r="AD185" s="2124"/>
      <c r="AE185" s="2125"/>
      <c r="AF185" s="968"/>
      <c r="AG185" s="968"/>
      <c r="AH185" s="2123"/>
      <c r="AI185" s="2123"/>
      <c r="AJ185" s="2123"/>
      <c r="AK185" s="2123"/>
      <c r="AL185" s="2123"/>
      <c r="AM185" s="2123"/>
      <c r="AN185" s="2123"/>
      <c r="AO185" s="2123"/>
      <c r="AP185" s="2123"/>
      <c r="AQ185" s="2123"/>
      <c r="AR185" s="2123"/>
      <c r="AS185" s="2123"/>
      <c r="AT185" s="2123"/>
      <c r="AU185" s="2123"/>
      <c r="AV185" s="2123"/>
      <c r="AW185" s="2123"/>
      <c r="AX185" s="2123"/>
      <c r="AY185" s="2123"/>
      <c r="AZ185" s="2123"/>
      <c r="BA185" s="2123"/>
      <c r="BB185" s="2123"/>
      <c r="BC185" s="2123"/>
      <c r="BD185" s="2123"/>
      <c r="BE185" s="2123"/>
    </row>
    <row r="186" spans="1:57" ht="15.75" customHeight="1">
      <c r="A186" s="968"/>
      <c r="B186" s="968"/>
      <c r="C186" s="2110" t="s">
        <v>2044</v>
      </c>
      <c r="D186" s="2111"/>
      <c r="E186" s="2111"/>
      <c r="F186" s="2111"/>
      <c r="G186" s="2111"/>
      <c r="H186" s="2111"/>
      <c r="I186" s="2111"/>
      <c r="J186" s="2111"/>
      <c r="K186" s="2111"/>
      <c r="L186" s="2111"/>
      <c r="M186" s="2111"/>
      <c r="N186" s="2112">
        <f>N185/J29</f>
        <v>482501.01250000001</v>
      </c>
      <c r="O186" s="2112"/>
      <c r="P186" s="2112"/>
      <c r="Q186" s="2112"/>
      <c r="R186" s="2112"/>
      <c r="S186" s="2112"/>
      <c r="T186" s="2112"/>
      <c r="U186" s="1108"/>
      <c r="V186" s="1108"/>
      <c r="W186" s="1108"/>
      <c r="X186" s="1108"/>
      <c r="Y186" s="1108"/>
      <c r="Z186" s="1108"/>
      <c r="AA186" s="1108"/>
      <c r="AB186" s="1108"/>
      <c r="AC186" s="1108"/>
      <c r="AD186" s="1108"/>
      <c r="AE186" s="1109"/>
      <c r="AF186" s="968"/>
      <c r="AG186" s="968"/>
      <c r="AH186" s="2123"/>
      <c r="AI186" s="2123"/>
      <c r="AJ186" s="2123"/>
      <c r="AK186" s="2123"/>
      <c r="AL186" s="2123"/>
      <c r="AM186" s="2123"/>
      <c r="AN186" s="2123"/>
      <c r="AO186" s="2123"/>
      <c r="AP186" s="2123"/>
      <c r="AQ186" s="2123"/>
      <c r="AR186" s="2123"/>
      <c r="AS186" s="2123"/>
      <c r="AT186" s="2123"/>
      <c r="AU186" s="2123"/>
      <c r="AV186" s="2123"/>
      <c r="AW186" s="2123"/>
      <c r="AX186" s="2123"/>
      <c r="AY186" s="2123"/>
      <c r="AZ186" s="2123"/>
      <c r="BA186" s="2123"/>
      <c r="BB186" s="2123"/>
      <c r="BC186" s="2123"/>
      <c r="BD186" s="2123"/>
      <c r="BE186" s="2123"/>
    </row>
    <row r="187" spans="1:57" ht="15.75" customHeight="1">
      <c r="A187" s="968"/>
      <c r="B187" s="968"/>
      <c r="C187" s="2126" t="s">
        <v>2045</v>
      </c>
      <c r="D187" s="2127"/>
      <c r="E187" s="2127"/>
      <c r="F187" s="2127"/>
      <c r="G187" s="2127"/>
      <c r="H187" s="2127"/>
      <c r="I187" s="2127"/>
      <c r="J187" s="2127"/>
      <c r="K187" s="2127"/>
      <c r="L187" s="2127"/>
      <c r="M187" s="2127"/>
      <c r="N187" s="1977">
        <v>0</v>
      </c>
      <c r="O187" s="1977"/>
      <c r="P187" s="1977"/>
      <c r="Q187" s="1977"/>
      <c r="R187" s="1977"/>
      <c r="S187" s="1977"/>
      <c r="T187" s="1977"/>
      <c r="U187" s="1953"/>
      <c r="V187" s="1953"/>
      <c r="W187" s="1953"/>
      <c r="X187" s="1953"/>
      <c r="Y187" s="1953"/>
      <c r="Z187" s="1953"/>
      <c r="AA187" s="1953"/>
      <c r="AB187" s="1953"/>
      <c r="AC187" s="1953"/>
      <c r="AD187" s="1953"/>
      <c r="AE187" s="1954"/>
      <c r="AF187" s="968"/>
      <c r="AG187" s="968"/>
      <c r="AH187" s="2123"/>
      <c r="AI187" s="2123"/>
      <c r="AJ187" s="2123"/>
      <c r="AK187" s="2123"/>
      <c r="AL187" s="2123"/>
      <c r="AM187" s="2123"/>
      <c r="AN187" s="2123"/>
      <c r="AO187" s="2123"/>
      <c r="AP187" s="2123"/>
      <c r="AQ187" s="2123"/>
      <c r="AR187" s="2123"/>
      <c r="AS187" s="2123"/>
      <c r="AT187" s="2123"/>
      <c r="AU187" s="2123"/>
      <c r="AV187" s="2123"/>
      <c r="AW187" s="2123"/>
      <c r="AX187" s="2123"/>
      <c r="AY187" s="2123"/>
      <c r="AZ187" s="2123"/>
      <c r="BA187" s="2123"/>
      <c r="BB187" s="2123"/>
      <c r="BC187" s="2123"/>
      <c r="BD187" s="2123"/>
      <c r="BE187" s="2123"/>
    </row>
    <row r="188" spans="1:57" ht="15.75" customHeight="1" thickBot="1">
      <c r="A188" s="968"/>
      <c r="B188" s="968"/>
      <c r="C188" s="2110" t="s">
        <v>2046</v>
      </c>
      <c r="D188" s="2111"/>
      <c r="E188" s="2111"/>
      <c r="F188" s="2111"/>
      <c r="G188" s="2111"/>
      <c r="H188" s="2111"/>
      <c r="I188" s="2111"/>
      <c r="J188" s="2111"/>
      <c r="K188" s="2111"/>
      <c r="L188" s="2111"/>
      <c r="M188" s="2111"/>
      <c r="N188" s="2128">
        <f>SUM('Sources and Uses Budget'!B85:B86)</f>
        <v>1009809</v>
      </c>
      <c r="O188" s="2128"/>
      <c r="P188" s="2128"/>
      <c r="Q188" s="2128"/>
      <c r="R188" s="2128"/>
      <c r="S188" s="2128"/>
      <c r="T188" s="2128"/>
      <c r="U188" s="1953"/>
      <c r="V188" s="1953"/>
      <c r="W188" s="1953"/>
      <c r="X188" s="1953"/>
      <c r="Y188" s="1953"/>
      <c r="Z188" s="1953"/>
      <c r="AA188" s="1953"/>
      <c r="AB188" s="1953"/>
      <c r="AC188" s="1953"/>
      <c r="AD188" s="1953"/>
      <c r="AE188" s="1954"/>
      <c r="AF188" s="968"/>
      <c r="AG188" s="968"/>
      <c r="AH188" s="2123"/>
      <c r="AI188" s="2123"/>
      <c r="AJ188" s="2123"/>
      <c r="AK188" s="2123"/>
      <c r="AL188" s="2123"/>
      <c r="AM188" s="2123"/>
      <c r="AN188" s="2123"/>
      <c r="AO188" s="2123"/>
      <c r="AP188" s="2123"/>
      <c r="AQ188" s="2123"/>
      <c r="AR188" s="2123"/>
      <c r="AS188" s="2123"/>
      <c r="AT188" s="2123"/>
      <c r="AU188" s="2123"/>
      <c r="AV188" s="2123"/>
      <c r="AW188" s="2123"/>
      <c r="AX188" s="2123"/>
      <c r="AY188" s="2123"/>
      <c r="AZ188" s="2123"/>
      <c r="BA188" s="2123"/>
      <c r="BB188" s="2123"/>
      <c r="BC188" s="2123"/>
      <c r="BD188" s="2123"/>
      <c r="BE188" s="2123"/>
    </row>
    <row r="189" spans="1:57" ht="15.75" customHeight="1" thickBot="1">
      <c r="A189" s="968"/>
      <c r="B189" s="968"/>
      <c r="C189" s="2110" t="s">
        <v>2047</v>
      </c>
      <c r="D189" s="2111"/>
      <c r="E189" s="2111"/>
      <c r="F189" s="2111"/>
      <c r="G189" s="2111"/>
      <c r="H189" s="2111"/>
      <c r="I189" s="2111"/>
      <c r="J189" s="2111"/>
      <c r="K189" s="2111"/>
      <c r="L189" s="2111"/>
      <c r="M189" s="2111"/>
      <c r="N189" s="2128">
        <f>'Sources and Uses Budget'!B8</f>
        <v>1025793</v>
      </c>
      <c r="O189" s="2128"/>
      <c r="P189" s="2128"/>
      <c r="Q189" s="2128"/>
      <c r="R189" s="2128"/>
      <c r="S189" s="2128"/>
      <c r="T189" s="2128"/>
      <c r="U189" s="1953"/>
      <c r="V189" s="1953"/>
      <c r="W189" s="1953"/>
      <c r="X189" s="1953"/>
      <c r="Y189" s="1953"/>
      <c r="Z189" s="1953"/>
      <c r="AA189" s="1953"/>
      <c r="AB189" s="1953"/>
      <c r="AC189" s="1953"/>
      <c r="AD189" s="1953"/>
      <c r="AE189" s="1954"/>
      <c r="AF189" s="968"/>
      <c r="AG189" s="968"/>
      <c r="AH189" s="2132" t="s">
        <v>1410</v>
      </c>
      <c r="AI189" s="2133"/>
      <c r="AJ189" s="2133"/>
      <c r="AK189" s="2133"/>
      <c r="AL189" s="2133"/>
      <c r="AM189" s="2133"/>
      <c r="AN189" s="2133"/>
      <c r="AO189" s="2133"/>
      <c r="AP189" s="2133"/>
      <c r="AQ189" s="2133"/>
      <c r="AR189" s="2133"/>
      <c r="AS189" s="2133"/>
      <c r="AT189" s="2133"/>
      <c r="AU189" s="2133"/>
      <c r="AV189" s="2133"/>
      <c r="AW189" s="2133"/>
      <c r="AX189" s="2133"/>
      <c r="AY189" s="2133"/>
      <c r="AZ189" s="2133"/>
      <c r="BA189" s="2133"/>
      <c r="BB189" s="2133"/>
      <c r="BC189" s="2133"/>
      <c r="BD189" s="2133"/>
      <c r="BE189" s="2134"/>
    </row>
    <row r="190" spans="1:57" ht="15.75" customHeight="1">
      <c r="A190" s="968"/>
      <c r="B190" s="968"/>
      <c r="C190" s="2110" t="s">
        <v>2048</v>
      </c>
      <c r="D190" s="2111"/>
      <c r="E190" s="2111"/>
      <c r="F190" s="2111"/>
      <c r="G190" s="2111"/>
      <c r="H190" s="2111"/>
      <c r="I190" s="2111"/>
      <c r="J190" s="2111"/>
      <c r="K190" s="2111"/>
      <c r="L190" s="2111"/>
      <c r="M190" s="2111"/>
      <c r="N190" s="2119">
        <v>0</v>
      </c>
      <c r="O190" s="2119"/>
      <c r="P190" s="2119"/>
      <c r="Q190" s="2119"/>
      <c r="R190" s="2119"/>
      <c r="S190" s="2119"/>
      <c r="T190" s="2119"/>
      <c r="U190" s="1953"/>
      <c r="V190" s="1953"/>
      <c r="W190" s="1953"/>
      <c r="X190" s="1953"/>
      <c r="Y190" s="1953"/>
      <c r="Z190" s="1953"/>
      <c r="AA190" s="1953"/>
      <c r="AB190" s="1953"/>
      <c r="AC190" s="1953"/>
      <c r="AD190" s="1953"/>
      <c r="AE190" s="1954"/>
      <c r="AF190" s="968"/>
      <c r="AG190" s="968"/>
      <c r="AH190" s="2135" t="s">
        <v>1410</v>
      </c>
      <c r="AI190" s="2136"/>
      <c r="AJ190" s="2136"/>
      <c r="AK190" s="2136"/>
      <c r="AL190" s="2136"/>
      <c r="AM190" s="2136"/>
      <c r="AN190" s="2136"/>
      <c r="AO190" s="2136"/>
      <c r="AP190" s="2136"/>
      <c r="AQ190" s="2136"/>
      <c r="AR190" s="2136"/>
      <c r="AS190" s="2136"/>
      <c r="AT190" s="2136"/>
      <c r="AU190" s="2137">
        <v>0</v>
      </c>
      <c r="AV190" s="2137"/>
      <c r="AW190" s="2137"/>
      <c r="AX190" s="2137"/>
      <c r="AY190" s="2137"/>
      <c r="AZ190" s="2137"/>
      <c r="BA190" s="2137"/>
      <c r="BB190" s="2137"/>
      <c r="BC190" s="2138"/>
      <c r="BD190" s="2139"/>
      <c r="BE190" s="2140"/>
    </row>
    <row r="191" spans="1:57" ht="15.75" customHeight="1">
      <c r="A191" s="968"/>
      <c r="B191" s="968"/>
      <c r="C191" s="2110" t="s">
        <v>2049</v>
      </c>
      <c r="D191" s="2111"/>
      <c r="E191" s="2111"/>
      <c r="F191" s="2111"/>
      <c r="G191" s="2111"/>
      <c r="H191" s="2111"/>
      <c r="I191" s="2111"/>
      <c r="J191" s="2111"/>
      <c r="K191" s="2111"/>
      <c r="L191" s="2111"/>
      <c r="M191" s="2111"/>
      <c r="N191" s="2119">
        <v>0</v>
      </c>
      <c r="O191" s="2119"/>
      <c r="P191" s="2119"/>
      <c r="Q191" s="2119"/>
      <c r="R191" s="2119"/>
      <c r="S191" s="2119"/>
      <c r="T191" s="2119"/>
      <c r="U191" s="1953"/>
      <c r="V191" s="1953"/>
      <c r="W191" s="1953"/>
      <c r="X191" s="1953"/>
      <c r="Y191" s="1953"/>
      <c r="Z191" s="1953"/>
      <c r="AA191" s="1953"/>
      <c r="AB191" s="1953"/>
      <c r="AC191" s="1953"/>
      <c r="AD191" s="1953"/>
      <c r="AE191" s="1954"/>
      <c r="AF191" s="968"/>
      <c r="AG191" s="968"/>
      <c r="AH191" s="2120" t="s">
        <v>2050</v>
      </c>
      <c r="AI191" s="2121"/>
      <c r="AJ191" s="2121"/>
      <c r="AK191" s="2121"/>
      <c r="AL191" s="2121"/>
      <c r="AM191" s="2121"/>
      <c r="AN191" s="2121"/>
      <c r="AO191" s="2121"/>
      <c r="AP191" s="2121"/>
      <c r="AQ191" s="2121"/>
      <c r="AR191" s="2121"/>
      <c r="AS191" s="2121"/>
      <c r="AT191" s="2121"/>
      <c r="AU191" s="2122"/>
      <c r="AV191" s="2122"/>
      <c r="AW191" s="2122"/>
      <c r="AX191" s="2122"/>
      <c r="AY191" s="2122"/>
      <c r="AZ191" s="2122"/>
      <c r="BA191" s="2122"/>
      <c r="BB191" s="2122"/>
      <c r="BC191" s="2129"/>
      <c r="BD191" s="2130"/>
      <c r="BE191" s="2131"/>
    </row>
    <row r="192" spans="1:57" ht="15.75" customHeight="1">
      <c r="A192" s="968"/>
      <c r="B192" s="968"/>
      <c r="C192" s="2145" t="s">
        <v>1054</v>
      </c>
      <c r="D192" s="2088"/>
      <c r="E192" s="2141" t="s">
        <v>2036</v>
      </c>
      <c r="F192" s="2141"/>
      <c r="G192" s="2141"/>
      <c r="H192" s="2141"/>
      <c r="I192" s="2141"/>
      <c r="J192" s="2141"/>
      <c r="K192" s="2141"/>
      <c r="L192" s="2141"/>
      <c r="M192" s="2141"/>
      <c r="N192" s="2119">
        <v>0</v>
      </c>
      <c r="O192" s="2119"/>
      <c r="P192" s="2119"/>
      <c r="Q192" s="2119"/>
      <c r="R192" s="2119"/>
      <c r="S192" s="2119"/>
      <c r="T192" s="2119"/>
      <c r="U192" s="1953"/>
      <c r="V192" s="1953"/>
      <c r="W192" s="1953"/>
      <c r="X192" s="1953"/>
      <c r="Y192" s="1953"/>
      <c r="Z192" s="1953"/>
      <c r="AA192" s="1953"/>
      <c r="AB192" s="1953"/>
      <c r="AC192" s="1953"/>
      <c r="AD192" s="1953"/>
      <c r="AE192" s="1954"/>
      <c r="AF192" s="968"/>
      <c r="AG192" s="968"/>
      <c r="AH192" s="2146" t="s">
        <v>2051</v>
      </c>
      <c r="AI192" s="2147"/>
      <c r="AJ192" s="2147"/>
      <c r="AK192" s="2147"/>
      <c r="AL192" s="2147"/>
      <c r="AM192" s="2147"/>
      <c r="AN192" s="2147"/>
      <c r="AO192" s="2147"/>
      <c r="AP192" s="2147"/>
      <c r="AQ192" s="2147"/>
      <c r="AR192" s="2147"/>
      <c r="AS192" s="2147"/>
      <c r="AT192" s="2147"/>
      <c r="AU192" s="2148">
        <f>SUM(AU190:BB191)</f>
        <v>0</v>
      </c>
      <c r="AV192" s="2148"/>
      <c r="AW192" s="2148"/>
      <c r="AX192" s="2148"/>
      <c r="AY192" s="2148"/>
      <c r="AZ192" s="2148"/>
      <c r="BA192" s="2148"/>
      <c r="BB192" s="2148"/>
      <c r="BC192" s="2129"/>
      <c r="BD192" s="2130"/>
      <c r="BE192" s="2131"/>
    </row>
    <row r="193" spans="1:57" ht="15.75" customHeight="1" thickBot="1">
      <c r="A193" s="968"/>
      <c r="B193" s="968"/>
      <c r="C193" s="2009" t="s">
        <v>1054</v>
      </c>
      <c r="D193" s="1941"/>
      <c r="E193" s="2141" t="s">
        <v>2036</v>
      </c>
      <c r="F193" s="2141"/>
      <c r="G193" s="2141"/>
      <c r="H193" s="2141"/>
      <c r="I193" s="2141"/>
      <c r="J193" s="2141"/>
      <c r="K193" s="2141"/>
      <c r="L193" s="2141"/>
      <c r="M193" s="2141"/>
      <c r="N193" s="2119">
        <v>0</v>
      </c>
      <c r="O193" s="2119"/>
      <c r="P193" s="2119"/>
      <c r="Q193" s="2119"/>
      <c r="R193" s="2119"/>
      <c r="S193" s="2119"/>
      <c r="T193" s="2119"/>
      <c r="U193" s="1953"/>
      <c r="V193" s="1953"/>
      <c r="W193" s="1953"/>
      <c r="X193" s="1953"/>
      <c r="Y193" s="1953"/>
      <c r="Z193" s="1953"/>
      <c r="AA193" s="1953"/>
      <c r="AB193" s="1953"/>
      <c r="AC193" s="1953"/>
      <c r="AD193" s="1953"/>
      <c r="AE193" s="1954"/>
      <c r="AF193" s="968"/>
      <c r="AG193" s="968"/>
      <c r="AH193" s="1007"/>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2142"/>
      <c r="BD193" s="2143"/>
      <c r="BE193" s="2144"/>
    </row>
    <row r="194" spans="1:57" ht="15.75" customHeight="1" thickBot="1">
      <c r="A194" s="968"/>
      <c r="B194" s="968"/>
      <c r="C194" s="2166" t="s">
        <v>1054</v>
      </c>
      <c r="D194" s="2167"/>
      <c r="E194" s="2168" t="s">
        <v>2036</v>
      </c>
      <c r="F194" s="2168"/>
      <c r="G194" s="2168"/>
      <c r="H194" s="2168"/>
      <c r="I194" s="2168"/>
      <c r="J194" s="2168"/>
      <c r="K194" s="2168"/>
      <c r="L194" s="2168"/>
      <c r="M194" s="2169"/>
      <c r="N194" s="2170">
        <v>0</v>
      </c>
      <c r="O194" s="2170"/>
      <c r="P194" s="2170"/>
      <c r="Q194" s="2170"/>
      <c r="R194" s="2170"/>
      <c r="S194" s="2170"/>
      <c r="T194" s="2171"/>
      <c r="U194" s="2172"/>
      <c r="V194" s="2173"/>
      <c r="W194" s="2173"/>
      <c r="X194" s="2173"/>
      <c r="Y194" s="2173"/>
      <c r="Z194" s="2173"/>
      <c r="AA194" s="2173"/>
      <c r="AB194" s="2173"/>
      <c r="AC194" s="2173"/>
      <c r="AD194" s="2173"/>
      <c r="AE194" s="2174"/>
      <c r="AF194" s="968"/>
      <c r="AG194" s="968"/>
      <c r="AH194" s="2175" t="s">
        <v>2052</v>
      </c>
      <c r="AI194" s="2176"/>
      <c r="AJ194" s="2176"/>
      <c r="AK194" s="2176"/>
      <c r="AL194" s="2176"/>
      <c r="AM194" s="2176"/>
      <c r="AN194" s="2176"/>
      <c r="AO194" s="2176"/>
      <c r="AP194" s="2176"/>
      <c r="AQ194" s="2176"/>
      <c r="AR194" s="2176"/>
      <c r="AS194" s="2176"/>
      <c r="AT194" s="2176"/>
      <c r="AU194" s="2177"/>
      <c r="AV194" s="2177"/>
      <c r="AW194" s="2177"/>
      <c r="AX194" s="2177"/>
      <c r="AY194" s="2177"/>
      <c r="AZ194" s="2177"/>
      <c r="BA194" s="2177"/>
      <c r="BB194" s="2177"/>
      <c r="BC194" s="949"/>
      <c r="BD194" s="949"/>
      <c r="BE194" s="1009"/>
    </row>
    <row r="195" spans="1:57" ht="15.75" customHeight="1">
      <c r="A195" s="968"/>
      <c r="B195" s="968"/>
      <c r="C195" s="2149" t="s">
        <v>2053</v>
      </c>
      <c r="D195" s="2150"/>
      <c r="E195" s="2150"/>
      <c r="F195" s="2150"/>
      <c r="G195" s="2150"/>
      <c r="H195" s="2150"/>
      <c r="I195" s="2150"/>
      <c r="J195" s="2150"/>
      <c r="K195" s="2150"/>
      <c r="L195" s="2150"/>
      <c r="M195" s="2150"/>
      <c r="N195" s="2151">
        <f>SUM(N187:T194)</f>
        <v>2035602</v>
      </c>
      <c r="O195" s="2151"/>
      <c r="P195" s="2151"/>
      <c r="Q195" s="2151"/>
      <c r="R195" s="2151"/>
      <c r="S195" s="2151"/>
      <c r="T195" s="2152"/>
      <c r="U195" s="968"/>
      <c r="V195" s="968"/>
      <c r="W195" s="968"/>
      <c r="X195" s="968"/>
      <c r="Y195" s="968"/>
      <c r="Z195" s="968"/>
      <c r="AA195" s="968"/>
      <c r="AB195" s="968"/>
      <c r="AC195" s="968"/>
      <c r="AD195" s="968"/>
      <c r="AE195" s="968"/>
      <c r="AF195" s="968"/>
      <c r="AG195" s="968"/>
      <c r="AH195" s="2153" t="s">
        <v>2054</v>
      </c>
      <c r="AI195" s="2154"/>
      <c r="AJ195" s="2154"/>
      <c r="AK195" s="2154"/>
      <c r="AL195" s="2154"/>
      <c r="AM195" s="2154"/>
      <c r="AN195" s="2154"/>
      <c r="AO195" s="2154"/>
      <c r="AP195" s="2154"/>
      <c r="AQ195" s="2154"/>
      <c r="AR195" s="2154"/>
      <c r="AS195" s="2154"/>
      <c r="AT195" s="2154"/>
      <c r="AU195" s="2154"/>
      <c r="AV195" s="2154"/>
      <c r="AW195" s="2154"/>
      <c r="AX195" s="2154"/>
      <c r="AY195" s="2154"/>
      <c r="AZ195" s="2154"/>
      <c r="BA195" s="2154"/>
      <c r="BB195" s="2154"/>
      <c r="BC195" s="2154"/>
      <c r="BD195" s="2154"/>
      <c r="BE195" s="2155"/>
    </row>
    <row r="196" spans="1:57" ht="15.75" customHeight="1" thickBot="1">
      <c r="A196" s="968"/>
      <c r="B196" s="968"/>
      <c r="C196" s="2159" t="s">
        <v>2055</v>
      </c>
      <c r="D196" s="2160"/>
      <c r="E196" s="2160"/>
      <c r="F196" s="2160"/>
      <c r="G196" s="2160"/>
      <c r="H196" s="2160"/>
      <c r="I196" s="2160"/>
      <c r="J196" s="2160"/>
      <c r="K196" s="2160"/>
      <c r="L196" s="2160"/>
      <c r="M196" s="2160"/>
      <c r="N196" s="2161">
        <f>(N185-N195)/J29</f>
        <v>457055.98749999999</v>
      </c>
      <c r="O196" s="2162"/>
      <c r="P196" s="2162"/>
      <c r="Q196" s="2162"/>
      <c r="R196" s="2162"/>
      <c r="S196" s="2162"/>
      <c r="T196" s="2163"/>
      <c r="U196" s="972"/>
      <c r="V196" s="968"/>
      <c r="W196" s="968"/>
      <c r="X196" s="968"/>
      <c r="Y196" s="968"/>
      <c r="Z196" s="968"/>
      <c r="AA196" s="968"/>
      <c r="AB196" s="968"/>
      <c r="AC196" s="968"/>
      <c r="AD196" s="968"/>
      <c r="AE196" s="968"/>
      <c r="AF196" s="968"/>
      <c r="AG196" s="968"/>
      <c r="AH196" s="2156"/>
      <c r="AI196" s="2157"/>
      <c r="AJ196" s="2157"/>
      <c r="AK196" s="2157"/>
      <c r="AL196" s="2157"/>
      <c r="AM196" s="2157"/>
      <c r="AN196" s="2157"/>
      <c r="AO196" s="2157"/>
      <c r="AP196" s="2157"/>
      <c r="AQ196" s="2157"/>
      <c r="AR196" s="2157"/>
      <c r="AS196" s="2157"/>
      <c r="AT196" s="2157"/>
      <c r="AU196" s="2157"/>
      <c r="AV196" s="2157"/>
      <c r="AW196" s="2157"/>
      <c r="AX196" s="2157"/>
      <c r="AY196" s="2157"/>
      <c r="AZ196" s="2157"/>
      <c r="BA196" s="2157"/>
      <c r="BB196" s="2157"/>
      <c r="BC196" s="2157"/>
      <c r="BD196" s="2157"/>
      <c r="BE196" s="2158"/>
    </row>
    <row r="197" spans="1:57" ht="15.75" customHeight="1">
      <c r="A197" s="968"/>
      <c r="B197" s="968"/>
      <c r="C197" s="968"/>
      <c r="D197" s="968"/>
      <c r="E197" s="968"/>
      <c r="F197" s="968"/>
      <c r="G197" s="968"/>
      <c r="H197" s="968"/>
      <c r="I197" s="968"/>
      <c r="J197" s="968"/>
      <c r="K197" s="968"/>
      <c r="L197" s="968"/>
      <c r="M197" s="968"/>
      <c r="N197" s="968"/>
      <c r="O197" s="968"/>
      <c r="P197" s="968"/>
      <c r="Q197" s="968"/>
      <c r="R197" s="968"/>
      <c r="S197" s="968"/>
      <c r="T197" s="968"/>
      <c r="U197" s="968"/>
      <c r="V197" s="968"/>
      <c r="W197" s="968"/>
      <c r="X197" s="968"/>
      <c r="Y197" s="968"/>
      <c r="Z197" s="968"/>
      <c r="AA197" s="968"/>
      <c r="AB197" s="968"/>
      <c r="AC197" s="968"/>
      <c r="AD197" s="968"/>
      <c r="AE197" s="968"/>
      <c r="AF197" s="968"/>
      <c r="AG197" s="968"/>
      <c r="AH197" s="2164"/>
      <c r="AI197" s="2164"/>
      <c r="AJ197" s="2164"/>
      <c r="AK197" s="2164"/>
      <c r="AL197" s="2164"/>
      <c r="AM197" s="2164"/>
      <c r="AN197" s="2164"/>
      <c r="AO197" s="2164"/>
      <c r="AP197" s="2164"/>
      <c r="AQ197" s="2164"/>
      <c r="AR197" s="2164"/>
      <c r="AS197" s="2165"/>
      <c r="AT197" s="2165"/>
      <c r="AU197" s="2165"/>
      <c r="AV197" s="2165"/>
      <c r="AW197" s="2165"/>
      <c r="AX197" s="2165"/>
      <c r="AY197" s="2165"/>
      <c r="AZ197" s="2165"/>
      <c r="BA197" s="2165"/>
      <c r="BB197" s="2165"/>
      <c r="BC197" s="2165"/>
      <c r="BD197" s="2165"/>
      <c r="BE197" s="971"/>
    </row>
    <row r="198" spans="1:57" ht="15.75" customHeight="1" thickBot="1">
      <c r="A198" s="968"/>
      <c r="B198" s="968"/>
      <c r="C198" s="968"/>
      <c r="D198" s="968"/>
      <c r="E198" s="968"/>
      <c r="F198" s="968"/>
      <c r="G198" s="968"/>
      <c r="H198" s="968"/>
      <c r="I198" s="968"/>
      <c r="J198" s="968"/>
      <c r="K198" s="968"/>
      <c r="L198" s="968"/>
      <c r="M198" s="968"/>
      <c r="N198" s="968"/>
      <c r="O198" s="968"/>
      <c r="P198" s="968"/>
      <c r="Q198" s="968"/>
      <c r="R198" s="968"/>
      <c r="S198" s="968"/>
      <c r="T198" s="968"/>
      <c r="U198" s="968"/>
      <c r="V198" s="968"/>
      <c r="W198" s="968"/>
      <c r="X198" s="968"/>
      <c r="Y198" s="968"/>
      <c r="Z198" s="968"/>
      <c r="AA198" s="968"/>
      <c r="AB198" s="968"/>
      <c r="AC198" s="968"/>
      <c r="AD198" s="968"/>
      <c r="AE198" s="968"/>
      <c r="AF198" s="968"/>
      <c r="AG198" s="968"/>
      <c r="AH198" s="968"/>
      <c r="AI198" s="968"/>
      <c r="AJ198" s="968"/>
      <c r="AK198" s="968"/>
      <c r="AL198" s="968"/>
      <c r="AM198" s="968"/>
      <c r="AN198" s="968"/>
      <c r="AO198" s="968"/>
      <c r="AP198" s="968"/>
      <c r="AQ198" s="968"/>
      <c r="AR198" s="968"/>
      <c r="AS198" s="968"/>
      <c r="AT198" s="968"/>
      <c r="AU198" s="968"/>
      <c r="AV198" s="968"/>
      <c r="AW198" s="968"/>
      <c r="AX198" s="968"/>
      <c r="AY198" s="968"/>
      <c r="AZ198" s="968"/>
      <c r="BA198" s="968"/>
      <c r="BB198" s="968"/>
      <c r="BC198" s="968"/>
      <c r="BD198" s="968"/>
      <c r="BE198" s="971"/>
    </row>
    <row r="199" spans="1:57" ht="15.75" customHeight="1" thickBot="1">
      <c r="A199" s="968"/>
      <c r="B199" s="968"/>
      <c r="C199" s="2183" t="s">
        <v>2056</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5"/>
      <c r="AF199" s="968"/>
      <c r="AG199" s="968"/>
      <c r="AH199" s="968"/>
      <c r="AI199" s="968"/>
      <c r="AJ199" s="968"/>
      <c r="AK199" s="968"/>
      <c r="AL199" s="968"/>
      <c r="AM199" s="968"/>
      <c r="AN199" s="968"/>
      <c r="AO199" s="968"/>
      <c r="AP199" s="968"/>
      <c r="AQ199" s="968"/>
      <c r="AR199" s="968"/>
      <c r="AS199" s="968"/>
      <c r="AT199" s="968"/>
      <c r="AU199" s="968"/>
      <c r="AV199" s="968"/>
      <c r="AW199" s="968"/>
      <c r="AX199" s="968"/>
      <c r="AY199" s="968"/>
      <c r="AZ199" s="968"/>
      <c r="BA199" s="968"/>
      <c r="BB199" s="968"/>
      <c r="BC199" s="968"/>
      <c r="BD199" s="968"/>
      <c r="BE199" s="971"/>
    </row>
    <row r="200" spans="1:57" ht="15.75" customHeight="1">
      <c r="A200" s="968"/>
      <c r="B200" s="968"/>
      <c r="C200" s="2186" t="s">
        <v>2057</v>
      </c>
      <c r="D200" s="2186"/>
      <c r="E200" s="2186"/>
      <c r="F200" s="2186"/>
      <c r="G200" s="2186"/>
      <c r="H200" s="2186"/>
      <c r="I200" s="2186"/>
      <c r="J200" s="2186"/>
      <c r="K200" s="2186"/>
      <c r="L200" s="2186"/>
      <c r="M200" s="2186"/>
      <c r="N200" s="2186"/>
      <c r="O200" s="2187" t="s">
        <v>2058</v>
      </c>
      <c r="P200" s="2187"/>
      <c r="Q200" s="2187"/>
      <c r="R200" s="2187"/>
      <c r="S200" s="2187"/>
      <c r="T200" s="2187"/>
      <c r="U200" s="2187"/>
      <c r="V200" s="2187"/>
      <c r="W200" s="2187"/>
      <c r="X200" s="2187" t="s">
        <v>2059</v>
      </c>
      <c r="Y200" s="2187"/>
      <c r="Z200" s="2187"/>
      <c r="AA200" s="2187"/>
      <c r="AB200" s="2187"/>
      <c r="AC200" s="2187"/>
      <c r="AD200" s="2187"/>
      <c r="AE200" s="2187"/>
      <c r="AF200" s="968"/>
      <c r="AG200" s="968"/>
      <c r="AH200" s="968"/>
      <c r="AI200" s="968"/>
      <c r="AJ200" s="968"/>
      <c r="AK200" s="968"/>
      <c r="AL200" s="968"/>
      <c r="AM200" s="968"/>
      <c r="AN200" s="968"/>
      <c r="AO200" s="968"/>
      <c r="AP200" s="968"/>
      <c r="AQ200" s="968"/>
      <c r="AR200" s="968"/>
      <c r="AS200" s="968"/>
      <c r="AT200" s="968"/>
      <c r="AU200" s="968"/>
      <c r="AV200" s="968"/>
      <c r="AW200" s="968"/>
      <c r="AX200" s="968"/>
      <c r="AY200" s="968"/>
      <c r="AZ200" s="968"/>
      <c r="BA200" s="968"/>
      <c r="BB200" s="968"/>
      <c r="BC200" s="968"/>
      <c r="BD200" s="968"/>
      <c r="BE200" s="971"/>
    </row>
    <row r="201" spans="1:57" ht="15.75" customHeight="1">
      <c r="A201" s="968"/>
      <c r="B201" s="968"/>
      <c r="C201" s="2178" t="s">
        <v>2060</v>
      </c>
      <c r="D201" s="2178"/>
      <c r="E201" s="2178"/>
      <c r="F201" s="2178"/>
      <c r="G201" s="2178"/>
      <c r="H201" s="2178"/>
      <c r="I201" s="2178"/>
      <c r="J201" s="2178"/>
      <c r="K201" s="2178"/>
      <c r="L201" s="2178"/>
      <c r="M201" s="2178"/>
      <c r="N201" s="2178"/>
      <c r="O201" s="2179" t="s">
        <v>2061</v>
      </c>
      <c r="P201" s="2179"/>
      <c r="Q201" s="2179"/>
      <c r="R201" s="2179"/>
      <c r="S201" s="2179"/>
      <c r="T201" s="2179"/>
      <c r="U201" s="2179"/>
      <c r="V201" s="2179"/>
      <c r="W201" s="2179"/>
      <c r="X201" s="2180">
        <v>0.03</v>
      </c>
      <c r="Y201" s="2180"/>
      <c r="Z201" s="2180"/>
      <c r="AA201" s="2180"/>
      <c r="AB201" s="2180"/>
      <c r="AC201" s="2180"/>
      <c r="AD201" s="2180"/>
      <c r="AE201" s="2180"/>
      <c r="AF201" s="968"/>
      <c r="AG201" s="968"/>
      <c r="AH201" s="968"/>
      <c r="AI201" s="968"/>
      <c r="AJ201" s="968"/>
      <c r="AK201" s="968"/>
      <c r="AL201" s="968"/>
      <c r="AM201" s="968"/>
      <c r="AN201" s="968"/>
      <c r="AO201" s="968"/>
      <c r="AP201" s="968"/>
      <c r="AQ201" s="968"/>
      <c r="AR201" s="968"/>
      <c r="AS201" s="968"/>
      <c r="AT201" s="968"/>
      <c r="AU201" s="968"/>
      <c r="AV201" s="968"/>
      <c r="AW201" s="968"/>
      <c r="AX201" s="968"/>
      <c r="AY201" s="968"/>
      <c r="AZ201" s="968"/>
      <c r="BA201" s="968"/>
      <c r="BB201" s="968"/>
      <c r="BC201" s="968"/>
      <c r="BD201" s="968"/>
      <c r="BE201" s="971"/>
    </row>
    <row r="202" spans="1:57" ht="15.75" customHeight="1">
      <c r="A202" s="968"/>
      <c r="B202" s="968"/>
      <c r="C202" s="2178" t="s">
        <v>2062</v>
      </c>
      <c r="D202" s="2178"/>
      <c r="E202" s="2178"/>
      <c r="F202" s="2178"/>
      <c r="G202" s="2178"/>
      <c r="H202" s="2178"/>
      <c r="I202" s="2178"/>
      <c r="J202" s="2178"/>
      <c r="K202" s="2178"/>
      <c r="L202" s="2178"/>
      <c r="M202" s="2178"/>
      <c r="N202" s="2178"/>
      <c r="O202" s="2179" t="s">
        <v>2061</v>
      </c>
      <c r="P202" s="2179"/>
      <c r="Q202" s="2179"/>
      <c r="R202" s="2179"/>
      <c r="S202" s="2179"/>
      <c r="T202" s="2179"/>
      <c r="U202" s="2179"/>
      <c r="V202" s="2179"/>
      <c r="W202" s="2179"/>
      <c r="X202" s="2180">
        <v>0.03</v>
      </c>
      <c r="Y202" s="2180"/>
      <c r="Z202" s="2180"/>
      <c r="AA202" s="2180"/>
      <c r="AB202" s="2180"/>
      <c r="AC202" s="2180"/>
      <c r="AD202" s="2180"/>
      <c r="AE202" s="2180"/>
      <c r="AF202" s="968"/>
      <c r="AG202" s="968"/>
      <c r="AH202" s="968"/>
      <c r="AI202" s="968"/>
      <c r="AJ202" s="968"/>
      <c r="AK202" s="968"/>
      <c r="AL202" s="968"/>
      <c r="AM202" s="968"/>
      <c r="AN202" s="968"/>
      <c r="AO202" s="968"/>
      <c r="AP202" s="968"/>
      <c r="AQ202" s="968"/>
      <c r="AR202" s="968"/>
      <c r="AS202" s="968"/>
      <c r="AT202" s="968"/>
      <c r="AU202" s="968"/>
      <c r="AV202" s="968"/>
      <c r="AW202" s="968"/>
      <c r="AX202" s="968"/>
      <c r="AY202" s="968"/>
      <c r="AZ202" s="968"/>
      <c r="BA202" s="968"/>
      <c r="BB202" s="968"/>
      <c r="BC202" s="968"/>
      <c r="BD202" s="968"/>
      <c r="BE202" s="971"/>
    </row>
    <row r="203" spans="1:57" ht="15.75" customHeight="1">
      <c r="A203" s="968"/>
      <c r="B203" s="968"/>
      <c r="C203" s="2178" t="s">
        <v>2063</v>
      </c>
      <c r="D203" s="2178"/>
      <c r="E203" s="2178"/>
      <c r="F203" s="2178"/>
      <c r="G203" s="2178"/>
      <c r="H203" s="2178"/>
      <c r="I203" s="2178"/>
      <c r="J203" s="2178"/>
      <c r="K203" s="2178"/>
      <c r="L203" s="2178"/>
      <c r="M203" s="2178"/>
      <c r="N203" s="2178"/>
      <c r="O203" s="2181">
        <f>SUM(O201:W202)</f>
        <v>0</v>
      </c>
      <c r="P203" s="2182"/>
      <c r="Q203" s="2182"/>
      <c r="R203" s="2182"/>
      <c r="S203" s="2182"/>
      <c r="T203" s="2182"/>
      <c r="U203" s="2182"/>
      <c r="V203" s="2182"/>
      <c r="W203" s="2182"/>
      <c r="X203" s="2182" t="s">
        <v>2064</v>
      </c>
      <c r="Y203" s="2182"/>
      <c r="Z203" s="2182"/>
      <c r="AA203" s="2182"/>
      <c r="AB203" s="2182"/>
      <c r="AC203" s="2182"/>
      <c r="AD203" s="2182"/>
      <c r="AE203" s="2182"/>
      <c r="AF203" s="968"/>
      <c r="AG203" s="968"/>
      <c r="AH203" s="968"/>
      <c r="AI203" s="968"/>
      <c r="AJ203" s="968"/>
      <c r="AK203" s="968"/>
      <c r="AL203" s="968"/>
      <c r="AM203" s="968"/>
      <c r="AN203" s="968"/>
      <c r="AO203" s="968"/>
      <c r="AP203" s="968"/>
      <c r="AQ203" s="968"/>
      <c r="AR203" s="968"/>
      <c r="AS203" s="968"/>
      <c r="AT203" s="968"/>
      <c r="AU203" s="968"/>
      <c r="AV203" s="968"/>
      <c r="AW203" s="968"/>
      <c r="AX203" s="968"/>
      <c r="AY203" s="968"/>
      <c r="AZ203" s="968"/>
      <c r="BA203" s="968"/>
      <c r="BB203" s="968"/>
      <c r="BC203" s="968"/>
      <c r="BD203" s="968"/>
      <c r="BE203" s="971"/>
    </row>
    <row r="204" spans="1:57" ht="15.75" customHeight="1">
      <c r="A204" s="968"/>
      <c r="B204" s="968"/>
      <c r="C204" s="2188" t="s">
        <v>2065</v>
      </c>
      <c r="D204" s="2188"/>
      <c r="E204" s="2188"/>
      <c r="F204" s="2188"/>
      <c r="G204" s="2188"/>
      <c r="H204" s="2188"/>
      <c r="I204" s="2188"/>
      <c r="J204" s="2188"/>
      <c r="K204" s="2188"/>
      <c r="L204" s="2188"/>
      <c r="M204" s="2188"/>
      <c r="N204" s="2188"/>
      <c r="O204" s="2188"/>
      <c r="P204" s="2188"/>
      <c r="Q204" s="2188"/>
      <c r="R204" s="2188"/>
      <c r="S204" s="2188"/>
      <c r="T204" s="2188"/>
      <c r="U204" s="2188"/>
      <c r="V204" s="2188"/>
      <c r="W204" s="2188"/>
      <c r="X204" s="2188"/>
      <c r="Y204" s="2188"/>
      <c r="Z204" s="2188"/>
      <c r="AA204" s="2188"/>
      <c r="AB204" s="2188"/>
      <c r="AC204" s="2188"/>
      <c r="AD204" s="2188"/>
      <c r="AE204" s="2188"/>
      <c r="AF204" s="968"/>
      <c r="AG204" s="968"/>
      <c r="AH204" s="968"/>
      <c r="AI204" s="968"/>
      <c r="AJ204" s="968"/>
      <c r="AK204" s="968"/>
      <c r="AL204" s="968"/>
      <c r="AM204" s="968"/>
      <c r="AN204" s="968"/>
      <c r="AO204" s="968"/>
      <c r="AP204" s="968"/>
      <c r="AQ204" s="968"/>
      <c r="AR204" s="968"/>
      <c r="AS204" s="968"/>
      <c r="AT204" s="968"/>
      <c r="AU204" s="968"/>
      <c r="AV204" s="968"/>
      <c r="AW204" s="968"/>
      <c r="AX204" s="968"/>
      <c r="AY204" s="968"/>
      <c r="AZ204" s="968"/>
      <c r="BA204" s="968"/>
      <c r="BB204" s="968"/>
      <c r="BC204" s="968"/>
      <c r="BD204" s="968"/>
      <c r="BE204" s="971"/>
    </row>
    <row r="205" spans="1:57" ht="15.75" customHeight="1" thickBot="1">
      <c r="A205" s="968"/>
      <c r="B205" s="968"/>
      <c r="C205" s="968"/>
      <c r="D205" s="968"/>
      <c r="E205" s="968"/>
      <c r="F205" s="968"/>
      <c r="G205" s="968"/>
      <c r="H205" s="968"/>
      <c r="I205" s="968"/>
      <c r="J205" s="968"/>
      <c r="K205" s="968"/>
      <c r="L205" s="968"/>
      <c r="M205" s="968"/>
      <c r="N205" s="968"/>
      <c r="O205" s="968"/>
      <c r="P205" s="968"/>
      <c r="Q205" s="968"/>
      <c r="R205" s="968"/>
      <c r="S205" s="968"/>
      <c r="T205" s="968"/>
      <c r="U205" s="968"/>
      <c r="V205" s="968"/>
      <c r="W205" s="968"/>
      <c r="X205" s="968"/>
      <c r="Y205" s="968"/>
      <c r="Z205" s="968"/>
      <c r="AA205" s="968"/>
      <c r="AB205" s="968"/>
      <c r="AC205" s="968"/>
      <c r="AD205" s="968"/>
      <c r="AE205" s="968"/>
      <c r="AF205" s="968"/>
      <c r="AG205" s="968"/>
      <c r="AH205" s="968"/>
      <c r="AI205" s="968"/>
      <c r="AJ205" s="968"/>
      <c r="AK205" s="968"/>
      <c r="AL205" s="968"/>
      <c r="AM205" s="968"/>
      <c r="AN205" s="968"/>
      <c r="AO205" s="968"/>
      <c r="AP205" s="968"/>
      <c r="AQ205" s="968"/>
      <c r="AR205" s="968"/>
      <c r="AS205" s="968"/>
      <c r="AT205" s="968"/>
      <c r="AU205" s="968"/>
      <c r="AV205" s="968"/>
      <c r="AW205" s="968"/>
      <c r="AX205" s="968"/>
      <c r="AY205" s="968"/>
      <c r="AZ205" s="968"/>
      <c r="BA205" s="968"/>
      <c r="BB205" s="968"/>
      <c r="BC205" s="968"/>
      <c r="BD205" s="968"/>
      <c r="BE205" s="971"/>
    </row>
    <row r="206" spans="1:57" ht="15.75" customHeight="1" thickBot="1">
      <c r="A206" s="968"/>
      <c r="B206" s="968"/>
      <c r="C206" s="2189" t="s">
        <v>2066</v>
      </c>
      <c r="D206" s="2190"/>
      <c r="E206" s="2190"/>
      <c r="F206" s="2190"/>
      <c r="G206" s="2190"/>
      <c r="H206" s="2190"/>
      <c r="I206" s="2190"/>
      <c r="J206" s="2190"/>
      <c r="K206" s="2190"/>
      <c r="L206" s="2190"/>
      <c r="M206" s="2190"/>
      <c r="N206" s="2190"/>
      <c r="O206" s="2190"/>
      <c r="P206" s="2190"/>
      <c r="Q206" s="2190"/>
      <c r="R206" s="2190"/>
      <c r="S206" s="2190"/>
      <c r="T206" s="2190"/>
      <c r="U206" s="2190"/>
      <c r="V206" s="2190"/>
      <c r="W206" s="2190"/>
      <c r="X206" s="2190"/>
      <c r="Y206" s="2190"/>
      <c r="Z206" s="2190"/>
      <c r="AA206" s="2190"/>
      <c r="AB206" s="2190"/>
      <c r="AC206" s="2190"/>
      <c r="AD206" s="2190"/>
      <c r="AE206" s="2190"/>
      <c r="AF206" s="2190"/>
      <c r="AG206" s="2190"/>
      <c r="AH206" s="2190"/>
      <c r="AI206" s="2190"/>
      <c r="AJ206" s="2190"/>
      <c r="AK206" s="2191"/>
      <c r="AL206" s="968"/>
      <c r="AM206" s="968"/>
      <c r="AN206" s="968"/>
      <c r="AO206" s="968"/>
      <c r="AP206" s="968"/>
      <c r="AQ206" s="968"/>
      <c r="AR206" s="968"/>
      <c r="AS206" s="968"/>
      <c r="AT206" s="968"/>
      <c r="AU206" s="968"/>
      <c r="AV206" s="968"/>
      <c r="AW206" s="968"/>
      <c r="AX206" s="968"/>
      <c r="AY206" s="968"/>
      <c r="AZ206" s="968"/>
      <c r="BA206" s="968"/>
      <c r="BB206" s="968"/>
      <c r="BC206" s="968"/>
      <c r="BD206" s="968"/>
      <c r="BE206" s="971"/>
    </row>
    <row r="207" spans="1:57" ht="15.75" customHeight="1">
      <c r="A207" s="968"/>
      <c r="B207" s="968"/>
      <c r="C207" s="2192" t="s">
        <v>2067</v>
      </c>
      <c r="D207" s="2193"/>
      <c r="E207" s="2193"/>
      <c r="F207" s="2194"/>
      <c r="G207" s="2198" t="s">
        <v>2068</v>
      </c>
      <c r="H207" s="2193"/>
      <c r="I207" s="2193"/>
      <c r="J207" s="2193"/>
      <c r="K207" s="2193"/>
      <c r="L207" s="2193"/>
      <c r="M207" s="2193"/>
      <c r="N207" s="2193"/>
      <c r="O207" s="2194"/>
      <c r="P207" s="2200" t="s">
        <v>2069</v>
      </c>
      <c r="Q207" s="2201"/>
      <c r="R207" s="2201"/>
      <c r="S207" s="2201"/>
      <c r="T207" s="2202"/>
      <c r="U207" s="2206" t="s">
        <v>2070</v>
      </c>
      <c r="V207" s="2207"/>
      <c r="W207" s="2207"/>
      <c r="X207" s="2208"/>
      <c r="Y207" s="2206" t="s">
        <v>2071</v>
      </c>
      <c r="Z207" s="2207"/>
      <c r="AA207" s="2207"/>
      <c r="AB207" s="2208"/>
      <c r="AC207" s="2206" t="s">
        <v>2072</v>
      </c>
      <c r="AD207" s="2207"/>
      <c r="AE207" s="2207"/>
      <c r="AF207" s="2208"/>
      <c r="AG207" s="2198" t="s">
        <v>2073</v>
      </c>
      <c r="AH207" s="2193"/>
      <c r="AI207" s="2193"/>
      <c r="AJ207" s="2193"/>
      <c r="AK207" s="2212"/>
      <c r="AL207" s="968"/>
      <c r="AM207" s="968"/>
      <c r="AN207" s="968"/>
      <c r="AO207" s="968"/>
      <c r="AP207" s="968"/>
      <c r="AQ207" s="968"/>
      <c r="AR207" s="968"/>
      <c r="AS207" s="968"/>
      <c r="AT207" s="968"/>
      <c r="AU207" s="968"/>
      <c r="AV207" s="968"/>
      <c r="AW207" s="968"/>
      <c r="AX207" s="968"/>
      <c r="AY207" s="968"/>
      <c r="AZ207" s="968"/>
      <c r="BA207" s="968"/>
      <c r="BB207" s="968"/>
      <c r="BC207" s="968"/>
      <c r="BD207" s="968"/>
      <c r="BE207" s="971"/>
    </row>
    <row r="208" spans="1:57" ht="15.75" customHeight="1">
      <c r="A208" s="968"/>
      <c r="B208" s="968"/>
      <c r="C208" s="2195"/>
      <c r="D208" s="2196"/>
      <c r="E208" s="2196"/>
      <c r="F208" s="2197"/>
      <c r="G208" s="2199"/>
      <c r="H208" s="2196"/>
      <c r="I208" s="2196"/>
      <c r="J208" s="2196"/>
      <c r="K208" s="2196"/>
      <c r="L208" s="2196"/>
      <c r="M208" s="2196"/>
      <c r="N208" s="2196"/>
      <c r="O208" s="2197"/>
      <c r="P208" s="2203"/>
      <c r="Q208" s="2204"/>
      <c r="R208" s="2204"/>
      <c r="S208" s="2204"/>
      <c r="T208" s="2205"/>
      <c r="U208" s="2209"/>
      <c r="V208" s="2210"/>
      <c r="W208" s="2210"/>
      <c r="X208" s="2211"/>
      <c r="Y208" s="2209"/>
      <c r="Z208" s="2210"/>
      <c r="AA208" s="2210"/>
      <c r="AB208" s="2211"/>
      <c r="AC208" s="2209"/>
      <c r="AD208" s="2210"/>
      <c r="AE208" s="2210"/>
      <c r="AF208" s="2211"/>
      <c r="AG208" s="2199"/>
      <c r="AH208" s="2196"/>
      <c r="AI208" s="2196"/>
      <c r="AJ208" s="2196"/>
      <c r="AK208" s="2213"/>
      <c r="AL208" s="968"/>
      <c r="AM208" s="968"/>
      <c r="AN208" s="968"/>
      <c r="AO208" s="968"/>
      <c r="AP208" s="968"/>
      <c r="AQ208" s="968"/>
      <c r="AR208" s="968"/>
      <c r="AS208" s="968"/>
      <c r="AT208" s="968"/>
      <c r="AU208" s="968"/>
      <c r="AV208" s="968"/>
      <c r="AW208" s="968"/>
      <c r="AX208" s="968"/>
      <c r="AY208" s="968"/>
      <c r="AZ208" s="968"/>
      <c r="BA208" s="968"/>
      <c r="BB208" s="968"/>
      <c r="BC208" s="968"/>
      <c r="BD208" s="968"/>
      <c r="BE208" s="971"/>
    </row>
    <row r="209" spans="1:57" ht="15.75" customHeight="1">
      <c r="A209" s="968"/>
      <c r="B209" s="968"/>
      <c r="C209" s="2217">
        <v>1</v>
      </c>
      <c r="D209" s="2218"/>
      <c r="E209" s="2218"/>
      <c r="F209" s="2218"/>
      <c r="G209" s="2219" t="s">
        <v>2074</v>
      </c>
      <c r="H209" s="2219"/>
      <c r="I209" s="2219"/>
      <c r="J209" s="2219"/>
      <c r="K209" s="2219"/>
      <c r="L209" s="2219"/>
      <c r="M209" s="2219"/>
      <c r="N209" s="2219"/>
      <c r="O209" s="2219"/>
      <c r="P209" s="2220"/>
      <c r="Q209" s="2223"/>
      <c r="R209" s="2223"/>
      <c r="S209" s="2223"/>
      <c r="T209" s="2223"/>
      <c r="U209" s="2221" t="s">
        <v>2074</v>
      </c>
      <c r="V209" s="2221"/>
      <c r="W209" s="2221"/>
      <c r="X209" s="2221"/>
      <c r="Y209" s="2221" t="s">
        <v>2074</v>
      </c>
      <c r="Z209" s="2221"/>
      <c r="AA209" s="2221"/>
      <c r="AB209" s="2221"/>
      <c r="AC209" s="2222" t="s">
        <v>2074</v>
      </c>
      <c r="AD209" s="2222"/>
      <c r="AE209" s="2222"/>
      <c r="AF209" s="2222"/>
      <c r="AG209" s="2214"/>
      <c r="AH209" s="2215"/>
      <c r="AI209" s="2215"/>
      <c r="AJ209" s="2215"/>
      <c r="AK209" s="2216"/>
      <c r="AL209" s="968"/>
      <c r="AM209" s="968"/>
      <c r="AN209" s="968"/>
      <c r="AO209" s="968"/>
      <c r="AP209" s="968"/>
      <c r="AQ209" s="968"/>
      <c r="AR209" s="968"/>
      <c r="AS209" s="968"/>
      <c r="AT209" s="968"/>
      <c r="AU209" s="968"/>
      <c r="AV209" s="968"/>
      <c r="AW209" s="968"/>
      <c r="AX209" s="968"/>
      <c r="AY209" s="968"/>
      <c r="AZ209" s="968"/>
      <c r="BA209" s="968"/>
      <c r="BB209" s="968"/>
      <c r="BC209" s="968"/>
      <c r="BD209" s="968"/>
      <c r="BE209" s="971"/>
    </row>
    <row r="210" spans="1:57" ht="15.75" customHeight="1">
      <c r="A210" s="968"/>
      <c r="B210" s="968"/>
      <c r="C210" s="2217">
        <v>2</v>
      </c>
      <c r="D210" s="2218"/>
      <c r="E210" s="2218"/>
      <c r="F210" s="2218"/>
      <c r="G210" s="2219" t="s">
        <v>2074</v>
      </c>
      <c r="H210" s="2219"/>
      <c r="I210" s="2219"/>
      <c r="J210" s="2219"/>
      <c r="K210" s="2219"/>
      <c r="L210" s="2219"/>
      <c r="M210" s="2219"/>
      <c r="N210" s="2219"/>
      <c r="O210" s="2219"/>
      <c r="P210" s="2220"/>
      <c r="Q210" s="2220"/>
      <c r="R210" s="2220"/>
      <c r="S210" s="2220"/>
      <c r="T210" s="2220"/>
      <c r="U210" s="2221" t="s">
        <v>2074</v>
      </c>
      <c r="V210" s="2221"/>
      <c r="W210" s="2221"/>
      <c r="X210" s="2221"/>
      <c r="Y210" s="2221" t="s">
        <v>2074</v>
      </c>
      <c r="Z210" s="2221"/>
      <c r="AA210" s="2221"/>
      <c r="AB210" s="2221"/>
      <c r="AC210" s="2222" t="s">
        <v>2074</v>
      </c>
      <c r="AD210" s="2222"/>
      <c r="AE210" s="2222"/>
      <c r="AF210" s="2222"/>
      <c r="AG210" s="2214"/>
      <c r="AH210" s="2215"/>
      <c r="AI210" s="2215"/>
      <c r="AJ210" s="2215"/>
      <c r="AK210" s="2216"/>
      <c r="AL210" s="968"/>
      <c r="AM210" s="968"/>
      <c r="AN210" s="968"/>
      <c r="AO210" s="968"/>
      <c r="AP210" s="968"/>
      <c r="AQ210" s="968"/>
      <c r="AR210" s="968"/>
      <c r="AS210" s="968"/>
      <c r="AT210" s="968"/>
      <c r="AU210" s="968"/>
      <c r="AV210" s="968"/>
      <c r="AW210" s="968"/>
      <c r="AX210" s="968"/>
      <c r="AY210" s="968"/>
      <c r="AZ210" s="968"/>
      <c r="BA210" s="968"/>
      <c r="BB210" s="968"/>
      <c r="BC210" s="968"/>
      <c r="BD210" s="968"/>
      <c r="BE210" s="971"/>
    </row>
    <row r="211" spans="1:57" ht="15.75" customHeight="1">
      <c r="A211" s="968"/>
      <c r="B211" s="968"/>
      <c r="C211" s="2217">
        <v>3</v>
      </c>
      <c r="D211" s="2218"/>
      <c r="E211" s="2218"/>
      <c r="F211" s="2218"/>
      <c r="G211" s="2219" t="s">
        <v>2074</v>
      </c>
      <c r="H211" s="2219"/>
      <c r="I211" s="2219"/>
      <c r="J211" s="2219"/>
      <c r="K211" s="2219"/>
      <c r="L211" s="2219"/>
      <c r="M211" s="2219"/>
      <c r="N211" s="2219"/>
      <c r="O211" s="2219"/>
      <c r="P211" s="2220"/>
      <c r="Q211" s="2220"/>
      <c r="R211" s="2220"/>
      <c r="S211" s="2220"/>
      <c r="T211" s="2220"/>
      <c r="U211" s="2221" t="s">
        <v>2074</v>
      </c>
      <c r="V211" s="2221"/>
      <c r="W211" s="2221"/>
      <c r="X211" s="2221"/>
      <c r="Y211" s="2221" t="s">
        <v>2074</v>
      </c>
      <c r="Z211" s="2221"/>
      <c r="AA211" s="2221"/>
      <c r="AB211" s="2221"/>
      <c r="AC211" s="2222" t="s">
        <v>2074</v>
      </c>
      <c r="AD211" s="2222"/>
      <c r="AE211" s="2222"/>
      <c r="AF211" s="2222"/>
      <c r="AG211" s="2214"/>
      <c r="AH211" s="2215"/>
      <c r="AI211" s="2215"/>
      <c r="AJ211" s="2215"/>
      <c r="AK211" s="2216"/>
      <c r="AL211" s="968"/>
      <c r="AM211" s="968"/>
      <c r="AN211" s="968"/>
      <c r="AO211" s="968"/>
      <c r="AP211" s="968"/>
      <c r="AQ211" s="968"/>
      <c r="AR211" s="968"/>
      <c r="AS211" s="968"/>
      <c r="AT211" s="968"/>
      <c r="AU211" s="968"/>
      <c r="AV211" s="968"/>
      <c r="AW211" s="968"/>
      <c r="AX211" s="968"/>
      <c r="AY211" s="968"/>
      <c r="AZ211" s="968"/>
      <c r="BA211" s="968"/>
      <c r="BB211" s="968"/>
      <c r="BC211" s="968"/>
      <c r="BD211" s="968"/>
      <c r="BE211" s="971"/>
    </row>
    <row r="212" spans="1:57" ht="15.75" customHeight="1">
      <c r="A212" s="968"/>
      <c r="B212" s="968"/>
      <c r="C212" s="2217">
        <v>4</v>
      </c>
      <c r="D212" s="2218"/>
      <c r="E212" s="2218"/>
      <c r="F212" s="2218"/>
      <c r="G212" s="2219" t="s">
        <v>2074</v>
      </c>
      <c r="H212" s="2219"/>
      <c r="I212" s="2219"/>
      <c r="J212" s="2219"/>
      <c r="K212" s="2219"/>
      <c r="L212" s="2219"/>
      <c r="M212" s="2219"/>
      <c r="N212" s="2219"/>
      <c r="O212" s="2219"/>
      <c r="P212" s="2220"/>
      <c r="Q212" s="2220"/>
      <c r="R212" s="2220"/>
      <c r="S212" s="2220"/>
      <c r="T212" s="2220"/>
      <c r="U212" s="2221" t="s">
        <v>2074</v>
      </c>
      <c r="V212" s="2221"/>
      <c r="W212" s="2221"/>
      <c r="X212" s="2221"/>
      <c r="Y212" s="2221" t="s">
        <v>2074</v>
      </c>
      <c r="Z212" s="2221"/>
      <c r="AA212" s="2221"/>
      <c r="AB212" s="2221"/>
      <c r="AC212" s="2222" t="s">
        <v>2074</v>
      </c>
      <c r="AD212" s="2222"/>
      <c r="AE212" s="2222"/>
      <c r="AF212" s="2222"/>
      <c r="AG212" s="2214"/>
      <c r="AH212" s="2215"/>
      <c r="AI212" s="2215"/>
      <c r="AJ212" s="2215"/>
      <c r="AK212" s="2216"/>
      <c r="AL212" s="968"/>
      <c r="AM212" s="968"/>
      <c r="AN212" s="968"/>
      <c r="AO212" s="968"/>
      <c r="AP212" s="968"/>
      <c r="AQ212" s="968"/>
      <c r="AR212" s="968"/>
      <c r="AS212" s="968"/>
      <c r="AT212" s="968"/>
      <c r="AU212" s="968"/>
      <c r="AV212" s="968"/>
      <c r="AW212" s="968"/>
      <c r="AX212" s="968"/>
      <c r="AY212" s="968"/>
      <c r="AZ212" s="968"/>
      <c r="BA212" s="968"/>
      <c r="BB212" s="968"/>
      <c r="BC212" s="968"/>
      <c r="BD212" s="968"/>
      <c r="BE212" s="971"/>
    </row>
    <row r="213" spans="1:57" ht="15.75" customHeight="1">
      <c r="A213" s="968"/>
      <c r="B213" s="968"/>
      <c r="C213" s="2217">
        <v>5</v>
      </c>
      <c r="D213" s="2218"/>
      <c r="E213" s="2218"/>
      <c r="F213" s="2218"/>
      <c r="G213" s="2219" t="s">
        <v>2074</v>
      </c>
      <c r="H213" s="2219"/>
      <c r="I213" s="2219"/>
      <c r="J213" s="2219"/>
      <c r="K213" s="2219"/>
      <c r="L213" s="2219"/>
      <c r="M213" s="2219"/>
      <c r="N213" s="2219"/>
      <c r="O213" s="2219"/>
      <c r="P213" s="2220"/>
      <c r="Q213" s="2220"/>
      <c r="R213" s="2220"/>
      <c r="S213" s="2220"/>
      <c r="T213" s="2220"/>
      <c r="U213" s="2221" t="s">
        <v>2074</v>
      </c>
      <c r="V213" s="2221"/>
      <c r="W213" s="2221"/>
      <c r="X213" s="2221"/>
      <c r="Y213" s="2221" t="s">
        <v>2074</v>
      </c>
      <c r="Z213" s="2221"/>
      <c r="AA213" s="2221"/>
      <c r="AB213" s="2221"/>
      <c r="AC213" s="2222" t="s">
        <v>2074</v>
      </c>
      <c r="AD213" s="2222"/>
      <c r="AE213" s="2222"/>
      <c r="AF213" s="2222"/>
      <c r="AG213" s="2214"/>
      <c r="AH213" s="2215"/>
      <c r="AI213" s="2215"/>
      <c r="AJ213" s="2215"/>
      <c r="AK213" s="2216"/>
      <c r="AL213" s="968"/>
      <c r="AM213" s="968"/>
      <c r="AN213" s="968"/>
      <c r="AO213" s="968"/>
      <c r="AP213" s="968"/>
      <c r="AQ213" s="968"/>
      <c r="AR213" s="968"/>
      <c r="AS213" s="968"/>
      <c r="AT213" s="968"/>
      <c r="AU213" s="968"/>
      <c r="AV213" s="968"/>
      <c r="AW213" s="968"/>
      <c r="AX213" s="968"/>
      <c r="AY213" s="968"/>
      <c r="AZ213" s="968"/>
      <c r="BA213" s="968"/>
      <c r="BB213" s="968"/>
      <c r="BC213" s="968"/>
      <c r="BD213" s="968"/>
      <c r="BE213" s="971"/>
    </row>
    <row r="214" spans="1:57" ht="15.75" customHeight="1">
      <c r="A214" s="968"/>
      <c r="B214" s="968"/>
      <c r="C214" s="2217">
        <v>6</v>
      </c>
      <c r="D214" s="2218"/>
      <c r="E214" s="2218"/>
      <c r="F214" s="2218"/>
      <c r="G214" s="2219" t="s">
        <v>2074</v>
      </c>
      <c r="H214" s="2219"/>
      <c r="I214" s="2219"/>
      <c r="J214" s="2219"/>
      <c r="K214" s="2219"/>
      <c r="L214" s="2219"/>
      <c r="M214" s="2219"/>
      <c r="N214" s="2219"/>
      <c r="O214" s="2219"/>
      <c r="P214" s="2220"/>
      <c r="Q214" s="2220"/>
      <c r="R214" s="2220"/>
      <c r="S214" s="2220"/>
      <c r="T214" s="2220"/>
      <c r="U214" s="2221"/>
      <c r="V214" s="2221"/>
      <c r="W214" s="2221"/>
      <c r="X214" s="2221"/>
      <c r="Y214" s="2221"/>
      <c r="Z214" s="2221"/>
      <c r="AA214" s="2221"/>
      <c r="AB214" s="2221"/>
      <c r="AC214" s="2222" t="s">
        <v>2074</v>
      </c>
      <c r="AD214" s="2222"/>
      <c r="AE214" s="2222"/>
      <c r="AF214" s="2222"/>
      <c r="AG214" s="2214"/>
      <c r="AH214" s="2215"/>
      <c r="AI214" s="2215"/>
      <c r="AJ214" s="2215"/>
      <c r="AK214" s="2216"/>
      <c r="AL214" s="968"/>
      <c r="AM214" s="968"/>
      <c r="AN214" s="968"/>
      <c r="AO214" s="968"/>
      <c r="AP214" s="968"/>
      <c r="AQ214" s="968"/>
      <c r="AR214" s="968"/>
      <c r="AS214" s="968"/>
      <c r="AT214" s="968"/>
      <c r="AU214" s="968"/>
      <c r="AV214" s="968"/>
      <c r="AW214" s="968"/>
      <c r="AX214" s="968"/>
      <c r="AY214" s="968"/>
      <c r="AZ214" s="968"/>
      <c r="BA214" s="968"/>
      <c r="BB214" s="968"/>
      <c r="BC214" s="968"/>
      <c r="BD214" s="968"/>
      <c r="BE214" s="971"/>
    </row>
    <row r="215" spans="1:57" ht="15.75" customHeight="1">
      <c r="A215" s="968"/>
      <c r="B215" s="968"/>
      <c r="C215" s="2217">
        <v>7</v>
      </c>
      <c r="D215" s="2218"/>
      <c r="E215" s="2218"/>
      <c r="F215" s="2218"/>
      <c r="G215" s="2219"/>
      <c r="H215" s="2219"/>
      <c r="I215" s="2219"/>
      <c r="J215" s="2219"/>
      <c r="K215" s="2219"/>
      <c r="L215" s="2219"/>
      <c r="M215" s="2219"/>
      <c r="N215" s="2219"/>
      <c r="O215" s="2219"/>
      <c r="P215" s="2220"/>
      <c r="Q215" s="2220"/>
      <c r="R215" s="2220"/>
      <c r="S215" s="2220"/>
      <c r="T215" s="2220"/>
      <c r="U215" s="2221"/>
      <c r="V215" s="2221"/>
      <c r="W215" s="2221"/>
      <c r="X215" s="2221"/>
      <c r="Y215" s="2221"/>
      <c r="Z215" s="2221"/>
      <c r="AA215" s="2221"/>
      <c r="AB215" s="2221"/>
      <c r="AC215" s="2222" t="s">
        <v>2074</v>
      </c>
      <c r="AD215" s="2222"/>
      <c r="AE215" s="2222"/>
      <c r="AF215" s="2222"/>
      <c r="AG215" s="2214"/>
      <c r="AH215" s="2215"/>
      <c r="AI215" s="2215"/>
      <c r="AJ215" s="2215"/>
      <c r="AK215" s="2216"/>
      <c r="AL215" s="968"/>
      <c r="AM215" s="968"/>
      <c r="AN215" s="968"/>
      <c r="AO215" s="968"/>
      <c r="AP215" s="968"/>
      <c r="AQ215" s="968"/>
      <c r="AR215" s="968"/>
      <c r="AS215" s="968"/>
      <c r="AT215" s="968"/>
      <c r="AU215" s="968"/>
      <c r="AV215" s="968"/>
      <c r="AW215" s="968"/>
      <c r="AX215" s="968"/>
      <c r="AY215" s="968"/>
      <c r="AZ215" s="968"/>
      <c r="BA215" s="968"/>
      <c r="BB215" s="968"/>
      <c r="BC215" s="968"/>
      <c r="BD215" s="968"/>
      <c r="BE215" s="971"/>
    </row>
    <row r="216" spans="1:57" ht="15.75" customHeight="1">
      <c r="A216" s="968"/>
      <c r="B216" s="968"/>
      <c r="C216" s="2236" t="s">
        <v>2075</v>
      </c>
      <c r="D216" s="2237"/>
      <c r="E216" s="2237"/>
      <c r="F216" s="2237"/>
      <c r="G216" s="2237"/>
      <c r="H216" s="2237"/>
      <c r="I216" s="2237"/>
      <c r="J216" s="2237"/>
      <c r="K216" s="2237"/>
      <c r="L216" s="2237"/>
      <c r="M216" s="2237"/>
      <c r="N216" s="2237"/>
      <c r="O216" s="2237"/>
      <c r="P216" s="2238"/>
      <c r="Q216" s="2238"/>
      <c r="R216" s="2238"/>
      <c r="S216" s="2238"/>
      <c r="T216" s="2238"/>
      <c r="U216" s="2239">
        <v>0</v>
      </c>
      <c r="V216" s="2239"/>
      <c r="W216" s="2239"/>
      <c r="X216" s="2239"/>
      <c r="Y216" s="2239">
        <v>0</v>
      </c>
      <c r="Z216" s="2239"/>
      <c r="AA216" s="2239"/>
      <c r="AB216" s="2239"/>
      <c r="AC216" s="2240">
        <v>0</v>
      </c>
      <c r="AD216" s="2240"/>
      <c r="AE216" s="2240"/>
      <c r="AF216" s="2240"/>
      <c r="AG216" s="2241"/>
      <c r="AH216" s="2242"/>
      <c r="AI216" s="2242"/>
      <c r="AJ216" s="2242"/>
      <c r="AK216" s="2243"/>
      <c r="AL216" s="968"/>
      <c r="AM216" s="968"/>
      <c r="AN216" s="968"/>
      <c r="AO216" s="968"/>
      <c r="AP216" s="968"/>
      <c r="AQ216" s="968"/>
      <c r="AR216" s="968"/>
      <c r="AS216" s="968"/>
      <c r="AT216" s="968"/>
      <c r="AU216" s="968"/>
      <c r="AV216" s="968"/>
      <c r="AW216" s="968"/>
      <c r="AX216" s="968"/>
      <c r="AY216" s="968"/>
      <c r="AZ216" s="968"/>
      <c r="BA216" s="968"/>
      <c r="BB216" s="968"/>
      <c r="BC216" s="968"/>
      <c r="BD216" s="968"/>
      <c r="BE216" s="971"/>
    </row>
    <row r="217" spans="1:57" ht="15.75" customHeight="1">
      <c r="A217" s="968"/>
      <c r="B217" s="968"/>
      <c r="C217" s="968" t="s">
        <v>2076</v>
      </c>
      <c r="D217" s="968"/>
      <c r="E217" s="968"/>
      <c r="F217" s="968"/>
      <c r="G217" s="968"/>
      <c r="H217" s="968"/>
      <c r="I217" s="968"/>
      <c r="J217" s="968"/>
      <c r="K217" s="968"/>
      <c r="L217" s="968"/>
      <c r="M217" s="968"/>
      <c r="N217" s="968"/>
      <c r="O217" s="968"/>
      <c r="P217" s="968"/>
      <c r="Q217" s="968"/>
      <c r="R217" s="968"/>
      <c r="S217" s="968"/>
      <c r="T217" s="968"/>
      <c r="U217" s="968"/>
      <c r="V217" s="968"/>
      <c r="W217" s="968"/>
      <c r="X217" s="968"/>
      <c r="Y217" s="968"/>
      <c r="Z217" s="968"/>
      <c r="AA217" s="968"/>
      <c r="AB217" s="968"/>
      <c r="AC217" s="968"/>
      <c r="AD217" s="968"/>
      <c r="AE217" s="968"/>
      <c r="AF217" s="968"/>
      <c r="AG217" s="968"/>
      <c r="AH217" s="968"/>
      <c r="AI217" s="968"/>
      <c r="AJ217" s="968"/>
      <c r="AK217" s="968"/>
      <c r="AL217" s="968"/>
      <c r="AM217" s="968"/>
      <c r="AN217" s="968"/>
      <c r="AO217" s="968"/>
      <c r="AP217" s="968"/>
      <c r="AQ217" s="968"/>
      <c r="AR217" s="968"/>
      <c r="AS217" s="968"/>
      <c r="AT217" s="968"/>
      <c r="AU217" s="968"/>
      <c r="AV217" s="968"/>
      <c r="AW217" s="968"/>
      <c r="AX217" s="968"/>
      <c r="AY217" s="968"/>
      <c r="AZ217" s="968"/>
      <c r="BA217" s="968"/>
      <c r="BB217" s="968"/>
      <c r="BC217" s="968"/>
      <c r="BD217" s="968"/>
      <c r="BE217" s="971"/>
    </row>
    <row r="218" spans="1:57" ht="15.75" customHeight="1">
      <c r="A218" s="968"/>
      <c r="B218" s="968"/>
      <c r="C218" s="968"/>
      <c r="D218" s="968"/>
      <c r="E218" s="968"/>
      <c r="F218" s="968"/>
      <c r="G218" s="968"/>
      <c r="H218" s="968"/>
      <c r="I218" s="968"/>
      <c r="J218" s="968"/>
      <c r="K218" s="968"/>
      <c r="L218" s="968"/>
      <c r="M218" s="968"/>
      <c r="N218" s="968"/>
      <c r="O218" s="968"/>
      <c r="P218" s="968"/>
      <c r="Q218" s="968"/>
      <c r="R218" s="968"/>
      <c r="S218" s="968"/>
      <c r="T218" s="968"/>
      <c r="U218" s="968"/>
      <c r="V218" s="968"/>
      <c r="W218" s="968"/>
      <c r="X218" s="968"/>
      <c r="Y218" s="968"/>
      <c r="Z218" s="968"/>
      <c r="AA218" s="968"/>
      <c r="AB218" s="968"/>
      <c r="AC218" s="968"/>
      <c r="AD218" s="968"/>
      <c r="AE218" s="968"/>
      <c r="AF218" s="968"/>
      <c r="AG218" s="968"/>
      <c r="AH218" s="968"/>
      <c r="AI218" s="968"/>
      <c r="AJ218" s="968"/>
      <c r="AK218" s="968"/>
      <c r="AL218" s="968"/>
      <c r="AM218" s="968"/>
      <c r="AN218" s="968"/>
      <c r="AO218" s="968"/>
      <c r="AP218" s="968"/>
      <c r="AQ218" s="968"/>
      <c r="AR218" s="968"/>
      <c r="AS218" s="968"/>
      <c r="AT218" s="968"/>
      <c r="AU218" s="968"/>
      <c r="AV218" s="968"/>
      <c r="AW218" s="968"/>
      <c r="AX218" s="968"/>
      <c r="AY218" s="968"/>
      <c r="AZ218" s="968"/>
      <c r="BA218" s="968"/>
      <c r="BB218" s="968"/>
      <c r="BC218" s="968"/>
      <c r="BD218" s="968"/>
      <c r="BE218" s="971"/>
    </row>
    <row r="219" spans="1:57" ht="15.75" customHeight="1">
      <c r="A219" s="968"/>
      <c r="B219" s="968"/>
      <c r="C219" s="968"/>
      <c r="D219" s="968"/>
      <c r="E219" s="968"/>
      <c r="F219" s="968"/>
      <c r="G219" s="968"/>
      <c r="H219" s="968"/>
      <c r="I219" s="968"/>
      <c r="J219" s="968"/>
      <c r="K219" s="968"/>
      <c r="L219" s="968"/>
      <c r="M219" s="968"/>
      <c r="N219" s="968"/>
      <c r="O219" s="968"/>
      <c r="P219" s="968"/>
      <c r="Q219" s="968"/>
      <c r="R219" s="968"/>
      <c r="S219" s="968"/>
      <c r="T219" s="968"/>
      <c r="U219" s="968"/>
      <c r="V219" s="968"/>
      <c r="W219" s="968"/>
      <c r="X219" s="968"/>
      <c r="Y219" s="968"/>
      <c r="Z219" s="968"/>
      <c r="AA219" s="968"/>
      <c r="AB219" s="968"/>
      <c r="AC219" s="968"/>
      <c r="AD219" s="968"/>
      <c r="AE219" s="968"/>
      <c r="AF219" s="968"/>
      <c r="AG219" s="968"/>
      <c r="AH219" s="968"/>
      <c r="AI219" s="968"/>
      <c r="AJ219" s="968"/>
      <c r="AK219" s="968"/>
      <c r="AL219" s="968"/>
      <c r="AM219" s="968"/>
      <c r="AN219" s="968"/>
      <c r="AO219" s="968"/>
      <c r="AP219" s="968"/>
      <c r="AQ219" s="968"/>
      <c r="AR219" s="968"/>
      <c r="AS219" s="968"/>
      <c r="AT219" s="968"/>
      <c r="AU219" s="968"/>
      <c r="AV219" s="968"/>
      <c r="AW219" s="968"/>
      <c r="AX219" s="968"/>
      <c r="AY219" s="968"/>
      <c r="AZ219" s="968"/>
      <c r="BA219" s="968"/>
      <c r="BB219" s="968"/>
      <c r="BC219" s="968"/>
      <c r="BD219" s="968"/>
      <c r="BE219" s="971"/>
    </row>
    <row r="220" spans="1:57" ht="15.75" customHeight="1" thickBot="1">
      <c r="A220" s="968"/>
      <c r="B220" s="968"/>
      <c r="C220" s="968"/>
      <c r="D220" s="968"/>
      <c r="E220" s="968"/>
      <c r="F220" s="968"/>
      <c r="G220" s="968"/>
      <c r="H220" s="968"/>
      <c r="I220" s="968"/>
      <c r="J220" s="968"/>
      <c r="K220" s="968"/>
      <c r="L220" s="968"/>
      <c r="M220" s="968"/>
      <c r="N220" s="968"/>
      <c r="O220" s="968"/>
      <c r="P220" s="968"/>
      <c r="Q220" s="968"/>
      <c r="R220" s="968"/>
      <c r="S220" s="968"/>
      <c r="T220" s="968"/>
      <c r="U220" s="968"/>
      <c r="V220" s="968"/>
      <c r="W220" s="968"/>
      <c r="X220" s="968"/>
      <c r="Y220" s="968"/>
      <c r="Z220" s="968"/>
      <c r="AA220" s="968"/>
      <c r="AB220" s="968"/>
      <c r="AC220" s="968"/>
      <c r="AD220" s="968"/>
      <c r="AE220" s="968"/>
      <c r="AF220" s="968"/>
      <c r="AG220" s="968"/>
      <c r="AH220" s="968"/>
      <c r="AI220" s="968"/>
      <c r="AJ220" s="968"/>
      <c r="AK220" s="968"/>
      <c r="AL220" s="968"/>
      <c r="AM220" s="968"/>
      <c r="AN220" s="968"/>
      <c r="AO220" s="968"/>
      <c r="AP220" s="968"/>
      <c r="AQ220" s="968"/>
      <c r="AR220" s="968"/>
      <c r="AS220" s="968"/>
      <c r="AT220" s="968"/>
      <c r="AU220" s="968"/>
      <c r="AV220" s="968"/>
      <c r="AW220" s="968"/>
      <c r="AX220" s="968"/>
      <c r="AY220" s="968"/>
      <c r="AZ220" s="968"/>
      <c r="BA220" s="968"/>
      <c r="BB220" s="968"/>
      <c r="BC220" s="968"/>
      <c r="BD220" s="968"/>
      <c r="BE220" s="971"/>
    </row>
    <row r="221" spans="1:57" ht="15.75" customHeight="1">
      <c r="A221" s="968"/>
      <c r="B221" s="2224" t="s">
        <v>2077</v>
      </c>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2225"/>
      <c r="AN221" s="2225"/>
      <c r="AO221" s="2225"/>
      <c r="AP221" s="2225"/>
      <c r="AQ221" s="2225"/>
      <c r="AR221" s="2225"/>
      <c r="AS221" s="2225"/>
      <c r="AT221" s="2225"/>
      <c r="AU221" s="2225"/>
      <c r="AV221" s="2225"/>
      <c r="AW221" s="2225"/>
      <c r="AX221" s="2225"/>
      <c r="AY221" s="2225"/>
      <c r="AZ221" s="2225"/>
      <c r="BA221" s="2225"/>
      <c r="BB221" s="2225"/>
      <c r="BC221" s="2225"/>
      <c r="BD221" s="2226"/>
      <c r="BE221" s="971"/>
    </row>
    <row r="222" spans="1:57" ht="15.75" customHeight="1">
      <c r="A222" s="968"/>
      <c r="B222" s="2227"/>
      <c r="C222" s="2228"/>
      <c r="D222" s="2228"/>
      <c r="E222" s="2228"/>
      <c r="F222" s="2228"/>
      <c r="G222" s="2228"/>
      <c r="H222" s="2228"/>
      <c r="I222" s="2228"/>
      <c r="J222" s="2228"/>
      <c r="K222" s="2228"/>
      <c r="L222" s="2228"/>
      <c r="M222" s="2228"/>
      <c r="N222" s="2228"/>
      <c r="O222" s="2228"/>
      <c r="P222" s="2228"/>
      <c r="Q222" s="2228"/>
      <c r="R222" s="2228"/>
      <c r="S222" s="2228"/>
      <c r="T222" s="2228"/>
      <c r="U222" s="2228"/>
      <c r="V222" s="2228"/>
      <c r="W222" s="2228"/>
      <c r="X222" s="2228"/>
      <c r="Y222" s="2228"/>
      <c r="Z222" s="2228"/>
      <c r="AA222" s="2228"/>
      <c r="AB222" s="2228"/>
      <c r="AC222" s="2228"/>
      <c r="AD222" s="2228"/>
      <c r="AE222" s="2228"/>
      <c r="AF222" s="2228"/>
      <c r="AG222" s="2228"/>
      <c r="AH222" s="2228"/>
      <c r="AI222" s="2228"/>
      <c r="AJ222" s="2228"/>
      <c r="AK222" s="2228"/>
      <c r="AL222" s="2228"/>
      <c r="AM222" s="2228"/>
      <c r="AN222" s="2228"/>
      <c r="AO222" s="2228"/>
      <c r="AP222" s="2228"/>
      <c r="AQ222" s="2228"/>
      <c r="AR222" s="2228"/>
      <c r="AS222" s="2228"/>
      <c r="AT222" s="2228"/>
      <c r="AU222" s="2228"/>
      <c r="AV222" s="2228"/>
      <c r="AW222" s="2228"/>
      <c r="AX222" s="2228"/>
      <c r="AY222" s="2228"/>
      <c r="AZ222" s="2228"/>
      <c r="BA222" s="2228"/>
      <c r="BB222" s="2228"/>
      <c r="BC222" s="2228"/>
      <c r="BD222" s="2229"/>
      <c r="BE222" s="971"/>
    </row>
    <row r="223" spans="1:57" ht="15.75" customHeight="1">
      <c r="A223" s="968"/>
      <c r="B223" s="2230" t="s">
        <v>2078</v>
      </c>
      <c r="C223" s="2231"/>
      <c r="D223" s="2231"/>
      <c r="E223" s="2231"/>
      <c r="F223" s="2231"/>
      <c r="G223" s="2231"/>
      <c r="H223" s="2231"/>
      <c r="I223" s="2231"/>
      <c r="J223" s="2231"/>
      <c r="K223" s="2231"/>
      <c r="L223" s="2231"/>
      <c r="M223" s="2231"/>
      <c r="N223" s="2231"/>
      <c r="O223" s="2231"/>
      <c r="P223" s="2231"/>
      <c r="Q223" s="2231"/>
      <c r="R223" s="2231"/>
      <c r="S223" s="2231"/>
      <c r="T223" s="2231"/>
      <c r="U223" s="2231"/>
      <c r="V223" s="2231"/>
      <c r="W223" s="2231"/>
      <c r="X223" s="2231"/>
      <c r="Y223" s="2231"/>
      <c r="Z223" s="2231"/>
      <c r="AA223" s="2231"/>
      <c r="AB223" s="2231"/>
      <c r="AC223" s="2231"/>
      <c r="AD223" s="2231"/>
      <c r="AE223" s="2231"/>
      <c r="AF223" s="2231"/>
      <c r="AG223" s="2231"/>
      <c r="AH223" s="2231"/>
      <c r="AI223" s="2231"/>
      <c r="AJ223" s="2231"/>
      <c r="AK223" s="2231"/>
      <c r="AL223" s="2231"/>
      <c r="AM223" s="2231"/>
      <c r="AN223" s="2231"/>
      <c r="AO223" s="2231"/>
      <c r="AP223" s="2231"/>
      <c r="AQ223" s="2231"/>
      <c r="AR223" s="2231"/>
      <c r="AS223" s="2231"/>
      <c r="AT223" s="2231"/>
      <c r="AU223" s="2231"/>
      <c r="AV223" s="2231"/>
      <c r="AW223" s="2231"/>
      <c r="AX223" s="2231"/>
      <c r="AY223" s="2231"/>
      <c r="AZ223" s="2231"/>
      <c r="BA223" s="2231"/>
      <c r="BB223" s="2231"/>
      <c r="BC223" s="2231"/>
      <c r="BD223" s="2232"/>
      <c r="BE223" s="971"/>
    </row>
    <row r="224" spans="1:57" ht="15.75" customHeight="1">
      <c r="A224" s="968"/>
      <c r="B224" s="2230" t="s">
        <v>2079</v>
      </c>
      <c r="C224" s="2231"/>
      <c r="D224" s="2231"/>
      <c r="E224" s="2231"/>
      <c r="F224" s="2231"/>
      <c r="G224" s="2231"/>
      <c r="H224" s="2231"/>
      <c r="I224" s="2231"/>
      <c r="J224" s="2231"/>
      <c r="K224" s="2231"/>
      <c r="L224" s="2231"/>
      <c r="M224" s="2231"/>
      <c r="N224" s="2231"/>
      <c r="O224" s="2231"/>
      <c r="P224" s="2231"/>
      <c r="Q224" s="2231"/>
      <c r="R224" s="2231"/>
      <c r="S224" s="2231"/>
      <c r="T224" s="2231"/>
      <c r="U224" s="2231"/>
      <c r="V224" s="2231"/>
      <c r="W224" s="2231"/>
      <c r="X224" s="2231"/>
      <c r="Y224" s="2231"/>
      <c r="Z224" s="2231"/>
      <c r="AA224" s="2231"/>
      <c r="AB224" s="2231"/>
      <c r="AC224" s="2231"/>
      <c r="AD224" s="2231"/>
      <c r="AE224" s="2231"/>
      <c r="AF224" s="2231"/>
      <c r="AG224" s="2231"/>
      <c r="AH224" s="2231"/>
      <c r="AI224" s="2231"/>
      <c r="AJ224" s="2231"/>
      <c r="AK224" s="2231"/>
      <c r="AL224" s="2231"/>
      <c r="AM224" s="2231"/>
      <c r="AN224" s="2231"/>
      <c r="AO224" s="2231"/>
      <c r="AP224" s="2231"/>
      <c r="AQ224" s="2231"/>
      <c r="AR224" s="2231"/>
      <c r="AS224" s="2231"/>
      <c r="AT224" s="2231"/>
      <c r="AU224" s="2231"/>
      <c r="AV224" s="2231"/>
      <c r="AW224" s="2231"/>
      <c r="AX224" s="2231"/>
      <c r="AY224" s="2231"/>
      <c r="AZ224" s="2231"/>
      <c r="BA224" s="2231"/>
      <c r="BB224" s="2231"/>
      <c r="BC224" s="2231"/>
      <c r="BD224" s="2232"/>
      <c r="BE224" s="971"/>
    </row>
    <row r="225" spans="1:57" ht="15.75" customHeight="1">
      <c r="A225" s="968"/>
      <c r="B225" s="967"/>
      <c r="C225" s="968"/>
      <c r="D225" s="968"/>
      <c r="E225" s="968"/>
      <c r="F225" s="968"/>
      <c r="G225" s="968"/>
      <c r="H225" s="968"/>
      <c r="I225" s="968"/>
      <c r="J225" s="968"/>
      <c r="K225" s="968"/>
      <c r="L225" s="968"/>
      <c r="M225" s="968"/>
      <c r="N225" s="968"/>
      <c r="O225" s="968"/>
      <c r="P225" s="968"/>
      <c r="Q225" s="968"/>
      <c r="R225" s="968"/>
      <c r="S225" s="968"/>
      <c r="T225" s="968"/>
      <c r="U225" s="968"/>
      <c r="V225" s="968"/>
      <c r="W225" s="968"/>
      <c r="X225" s="968"/>
      <c r="Y225" s="968"/>
      <c r="Z225" s="968"/>
      <c r="AA225" s="968"/>
      <c r="AB225" s="968"/>
      <c r="AC225" s="968"/>
      <c r="AD225" s="968"/>
      <c r="AE225" s="968"/>
      <c r="AF225" s="968"/>
      <c r="AG225" s="968"/>
      <c r="AH225" s="968"/>
      <c r="AI225" s="968"/>
      <c r="AJ225" s="968"/>
      <c r="AK225" s="968"/>
      <c r="AL225" s="968"/>
      <c r="AM225" s="968"/>
      <c r="AN225" s="968"/>
      <c r="AO225" s="968"/>
      <c r="AP225" s="968"/>
      <c r="AQ225" s="968"/>
      <c r="AR225" s="968"/>
      <c r="AS225" s="968"/>
      <c r="AT225" s="968"/>
      <c r="AU225" s="968"/>
      <c r="AV225" s="968"/>
      <c r="AW225" s="968"/>
      <c r="AX225" s="968"/>
      <c r="AY225" s="968"/>
      <c r="AZ225" s="968"/>
      <c r="BA225" s="968"/>
      <c r="BB225" s="968"/>
      <c r="BC225" s="968"/>
      <c r="BD225" s="971"/>
      <c r="BE225" s="971"/>
    </row>
    <row r="226" spans="1:57" ht="15.75" customHeight="1">
      <c r="A226" s="968"/>
      <c r="B226" s="2233" t="s">
        <v>2080</v>
      </c>
      <c r="C226" s="2123"/>
      <c r="D226" s="2123"/>
      <c r="E226" s="2123"/>
      <c r="F226" s="2123"/>
      <c r="G226" s="2123"/>
      <c r="H226" s="2123"/>
      <c r="I226" s="2123"/>
      <c r="J226" s="2123"/>
      <c r="K226" s="2123"/>
      <c r="L226" s="2123"/>
      <c r="M226" s="2123"/>
      <c r="N226" s="2123"/>
      <c r="O226" s="2123"/>
      <c r="P226" s="2123"/>
      <c r="Q226" s="2123"/>
      <c r="R226" s="2123"/>
      <c r="S226" s="2123"/>
      <c r="T226" s="2123"/>
      <c r="U226" s="2123"/>
      <c r="V226" s="2123"/>
      <c r="W226" s="2123"/>
      <c r="X226" s="2123"/>
      <c r="Y226" s="2123"/>
      <c r="Z226" s="2123"/>
      <c r="AA226" s="2123"/>
      <c r="AB226" s="2123"/>
      <c r="AC226" s="2123"/>
      <c r="AD226" s="2123"/>
      <c r="AE226" s="2123"/>
      <c r="AF226" s="2123"/>
      <c r="AG226" s="2123"/>
      <c r="AH226" s="2123"/>
      <c r="AI226" s="2123"/>
      <c r="AJ226" s="2123"/>
      <c r="AK226" s="2123"/>
      <c r="AL226" s="2123"/>
      <c r="AM226" s="2123"/>
      <c r="AN226" s="2123"/>
      <c r="AO226" s="2123"/>
      <c r="AP226" s="2123"/>
      <c r="AQ226" s="2123"/>
      <c r="AR226" s="2123"/>
      <c r="AS226" s="2123"/>
      <c r="AT226" s="2123"/>
      <c r="AU226" s="2123"/>
      <c r="AV226" s="2123"/>
      <c r="AW226" s="2123"/>
      <c r="AX226" s="2123"/>
      <c r="AY226" s="2123"/>
      <c r="AZ226" s="2123"/>
      <c r="BA226" s="2123"/>
      <c r="BB226" s="2123"/>
      <c r="BC226" s="2123"/>
      <c r="BD226" s="2234"/>
      <c r="BE226" s="971"/>
    </row>
    <row r="227" spans="1:57" ht="15.75" customHeight="1">
      <c r="A227" s="968"/>
      <c r="B227" s="1010"/>
      <c r="C227" s="968"/>
      <c r="D227" s="968"/>
      <c r="E227" s="968"/>
      <c r="F227" s="968"/>
      <c r="G227" s="968"/>
      <c r="H227" s="968"/>
      <c r="I227" s="968"/>
      <c r="J227" s="968"/>
      <c r="K227" s="968"/>
      <c r="L227" s="968"/>
      <c r="M227" s="968"/>
      <c r="N227" s="968"/>
      <c r="O227" s="968"/>
      <c r="P227" s="968"/>
      <c r="Q227" s="968"/>
      <c r="R227" s="968"/>
      <c r="S227" s="968"/>
      <c r="T227" s="968"/>
      <c r="U227" s="968"/>
      <c r="V227" s="968"/>
      <c r="W227" s="968"/>
      <c r="X227" s="968"/>
      <c r="Y227" s="968"/>
      <c r="Z227" s="968"/>
      <c r="AA227" s="968"/>
      <c r="AB227" s="968"/>
      <c r="AC227" s="968"/>
      <c r="AD227" s="968"/>
      <c r="AE227" s="968"/>
      <c r="AF227" s="968"/>
      <c r="AG227" s="968"/>
      <c r="AH227" s="968"/>
      <c r="AI227" s="968"/>
      <c r="AJ227" s="968"/>
      <c r="AK227" s="968"/>
      <c r="AL227" s="968"/>
      <c r="AM227" s="968"/>
      <c r="AN227" s="968"/>
      <c r="AO227" s="968"/>
      <c r="AP227" s="968"/>
      <c r="AQ227" s="968"/>
      <c r="AR227" s="968"/>
      <c r="AS227" s="968"/>
      <c r="AT227" s="968"/>
      <c r="AU227" s="968"/>
      <c r="AV227" s="968"/>
      <c r="AW227" s="968"/>
      <c r="AX227" s="968"/>
      <c r="AY227" s="968"/>
      <c r="AZ227" s="968"/>
      <c r="BA227" s="968"/>
      <c r="BB227" s="968"/>
      <c r="BC227" s="968"/>
      <c r="BD227" s="971"/>
      <c r="BE227" s="971"/>
    </row>
    <row r="228" spans="1:57" ht="15.75" customHeight="1">
      <c r="A228" s="968"/>
      <c r="B228" s="1011"/>
      <c r="C228" s="968"/>
      <c r="D228" s="968"/>
      <c r="E228" s="968"/>
      <c r="F228" s="968"/>
      <c r="G228" s="968"/>
      <c r="H228" s="969" t="s">
        <v>2081</v>
      </c>
      <c r="I228" s="968"/>
      <c r="J228" s="968"/>
      <c r="K228" s="968"/>
      <c r="L228" s="968"/>
      <c r="M228" s="968"/>
      <c r="N228" s="968"/>
      <c r="O228" s="968"/>
      <c r="P228" s="968"/>
      <c r="Q228" s="968"/>
      <c r="R228" s="968"/>
      <c r="S228" s="968"/>
      <c r="T228" s="968"/>
      <c r="U228" s="968"/>
      <c r="V228" s="968"/>
      <c r="W228" s="968"/>
      <c r="X228" s="968"/>
      <c r="Y228" s="968"/>
      <c r="Z228" s="968"/>
      <c r="AA228" s="968"/>
      <c r="AB228" s="968"/>
      <c r="AC228" s="968"/>
      <c r="AD228" s="968"/>
      <c r="AE228" s="968"/>
      <c r="AF228" s="968"/>
      <c r="AG228" s="968"/>
      <c r="AH228" s="968"/>
      <c r="AI228" s="968"/>
      <c r="AJ228" s="968"/>
      <c r="AK228" s="968"/>
      <c r="AL228" s="968"/>
      <c r="AM228" s="968"/>
      <c r="AN228" s="968"/>
      <c r="AO228" s="968"/>
      <c r="AP228" s="968"/>
      <c r="AQ228" s="968"/>
      <c r="AR228" s="968"/>
      <c r="AS228" s="968"/>
      <c r="AT228" s="968"/>
      <c r="AU228" s="968"/>
      <c r="AV228" s="968"/>
      <c r="AW228" s="968"/>
      <c r="AX228" s="968"/>
      <c r="AY228" s="968"/>
      <c r="AZ228" s="968"/>
      <c r="BA228" s="968"/>
      <c r="BB228" s="968"/>
      <c r="BC228" s="968"/>
      <c r="BD228" s="971"/>
      <c r="BE228" s="971"/>
    </row>
    <row r="229" spans="1:57" ht="15.75" customHeight="1">
      <c r="A229" s="968"/>
      <c r="B229" s="1011"/>
      <c r="C229" s="968"/>
      <c r="D229" s="968"/>
      <c r="E229" s="968"/>
      <c r="F229" s="968"/>
      <c r="G229" s="968"/>
      <c r="H229" s="968"/>
      <c r="I229" s="968"/>
      <c r="J229" s="968"/>
      <c r="K229" s="968"/>
      <c r="L229" s="968"/>
      <c r="M229" s="968"/>
      <c r="N229" s="968"/>
      <c r="O229" s="968"/>
      <c r="P229" s="968"/>
      <c r="Q229" s="968"/>
      <c r="R229" s="968"/>
      <c r="S229" s="968"/>
      <c r="T229" s="968"/>
      <c r="U229" s="968"/>
      <c r="V229" s="968"/>
      <c r="W229" s="968"/>
      <c r="X229" s="968"/>
      <c r="Y229" s="968"/>
      <c r="Z229" s="968"/>
      <c r="AA229" s="968"/>
      <c r="AB229" s="968"/>
      <c r="AC229" s="968"/>
      <c r="AD229" s="968"/>
      <c r="AE229" s="968"/>
      <c r="AF229" s="968"/>
      <c r="AG229" s="968"/>
      <c r="AH229" s="968"/>
      <c r="AI229" s="968"/>
      <c r="AJ229" s="968"/>
      <c r="AK229" s="968"/>
      <c r="AL229" s="968"/>
      <c r="AM229" s="968"/>
      <c r="AN229" s="968"/>
      <c r="AO229" s="968"/>
      <c r="AP229" s="968"/>
      <c r="AQ229" s="968"/>
      <c r="AR229" s="968"/>
      <c r="AS229" s="968"/>
      <c r="AT229" s="968"/>
      <c r="AU229" s="968"/>
      <c r="AV229" s="968"/>
      <c r="AW229" s="968"/>
      <c r="AX229" s="968"/>
      <c r="AY229" s="968"/>
      <c r="AZ229" s="968"/>
      <c r="BA229" s="968"/>
      <c r="BB229" s="968"/>
      <c r="BC229" s="968"/>
      <c r="BD229" s="971"/>
      <c r="BE229" s="971"/>
    </row>
    <row r="230" spans="1:57" ht="15.75" customHeight="1">
      <c r="A230" s="968"/>
      <c r="B230" s="1011"/>
      <c r="C230" s="968"/>
      <c r="D230" s="968"/>
      <c r="E230" s="968"/>
      <c r="F230" s="968"/>
      <c r="G230" s="968"/>
      <c r="H230" s="2235" t="s">
        <v>2082</v>
      </c>
      <c r="I230" s="2235"/>
      <c r="J230" s="2235"/>
      <c r="K230" s="2235"/>
      <c r="L230" s="2235"/>
      <c r="M230" s="2235"/>
      <c r="N230" s="2235"/>
      <c r="O230" s="2235"/>
      <c r="P230" s="2235"/>
      <c r="Q230" s="2235"/>
      <c r="R230" s="2235"/>
      <c r="S230" s="2235"/>
      <c r="T230" s="2235"/>
      <c r="U230" s="2235"/>
      <c r="V230" s="2235"/>
      <c r="W230" s="2235"/>
      <c r="X230" s="2235"/>
      <c r="Y230" s="2235"/>
      <c r="Z230" s="2235"/>
      <c r="AA230" s="2235"/>
      <c r="AB230" s="2235"/>
      <c r="AC230" s="2235"/>
      <c r="AD230" s="2235"/>
      <c r="AE230" s="2235"/>
      <c r="AF230" s="2235"/>
      <c r="AG230" s="2235"/>
      <c r="AH230" s="2235"/>
      <c r="AI230" s="2235"/>
      <c r="AJ230" s="2235"/>
      <c r="AK230" s="2235"/>
      <c r="AL230" s="2235"/>
      <c r="AM230" s="2235"/>
      <c r="AN230" s="2235"/>
      <c r="AO230" s="2235"/>
      <c r="AP230" s="2235"/>
      <c r="AQ230" s="2235"/>
      <c r="AR230" s="2235"/>
      <c r="AS230" s="2235"/>
      <c r="AT230" s="2235"/>
      <c r="AU230" s="2235"/>
      <c r="AV230" s="2235"/>
      <c r="AW230" s="2235"/>
      <c r="AX230" s="2235"/>
      <c r="AY230" s="2235"/>
      <c r="AZ230" s="968"/>
      <c r="BA230" s="968"/>
      <c r="BB230" s="968"/>
      <c r="BC230" s="968"/>
      <c r="BD230" s="971"/>
      <c r="BE230" s="971"/>
    </row>
    <row r="231" spans="1:57" ht="15.75" customHeight="1">
      <c r="A231" s="968"/>
      <c r="B231" s="1011"/>
      <c r="C231" s="968"/>
      <c r="D231" s="968"/>
      <c r="E231" s="968"/>
      <c r="F231" s="968"/>
      <c r="G231" s="968"/>
      <c r="H231" s="968"/>
      <c r="I231" s="968"/>
      <c r="J231" s="968"/>
      <c r="K231" s="968"/>
      <c r="L231" s="968"/>
      <c r="M231" s="968"/>
      <c r="N231" s="968"/>
      <c r="O231" s="968"/>
      <c r="P231" s="968"/>
      <c r="Q231" s="968"/>
      <c r="R231" s="968"/>
      <c r="S231" s="968"/>
      <c r="T231" s="968"/>
      <c r="U231" s="968"/>
      <c r="V231" s="968"/>
      <c r="W231" s="968"/>
      <c r="X231" s="968"/>
      <c r="Y231" s="968"/>
      <c r="Z231" s="968"/>
      <c r="AA231" s="968"/>
      <c r="AB231" s="968"/>
      <c r="AC231" s="968"/>
      <c r="AD231" s="968"/>
      <c r="AE231" s="968"/>
      <c r="AF231" s="968"/>
      <c r="AG231" s="968"/>
      <c r="AH231" s="968"/>
      <c r="AI231" s="968"/>
      <c r="AJ231" s="968"/>
      <c r="AK231" s="968"/>
      <c r="AL231" s="968"/>
      <c r="AM231" s="968"/>
      <c r="AN231" s="968"/>
      <c r="AO231" s="968"/>
      <c r="AP231" s="968"/>
      <c r="AQ231" s="968"/>
      <c r="AR231" s="968"/>
      <c r="AS231" s="968"/>
      <c r="AT231" s="968"/>
      <c r="AU231" s="968"/>
      <c r="AV231" s="968"/>
      <c r="AW231" s="968"/>
      <c r="AX231" s="968"/>
      <c r="AY231" s="968"/>
      <c r="AZ231" s="968"/>
      <c r="BA231" s="968"/>
      <c r="BB231" s="968"/>
      <c r="BC231" s="968"/>
      <c r="BD231" s="971"/>
      <c r="BE231" s="971"/>
    </row>
    <row r="232" spans="1:57" ht="15.75" customHeight="1">
      <c r="A232" s="968"/>
      <c r="B232" s="1011"/>
      <c r="C232" s="968"/>
      <c r="D232" s="968"/>
      <c r="E232" s="968"/>
      <c r="F232" s="968"/>
      <c r="G232" s="968"/>
      <c r="H232" s="2253" t="s">
        <v>2083</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2253"/>
      <c r="AX232" s="2253"/>
      <c r="AY232" s="2253"/>
      <c r="AZ232" s="2253"/>
      <c r="BA232" s="968"/>
      <c r="BB232" s="968"/>
      <c r="BC232" s="968"/>
      <c r="BD232" s="971"/>
      <c r="BE232" s="971"/>
    </row>
    <row r="233" spans="1:57" ht="15.75" customHeight="1">
      <c r="A233" s="968"/>
      <c r="B233" s="967"/>
      <c r="C233" s="968"/>
      <c r="D233" s="968"/>
      <c r="E233" s="968"/>
      <c r="F233" s="968"/>
      <c r="G233" s="968"/>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2253"/>
      <c r="AD233" s="2253"/>
      <c r="AE233" s="2253"/>
      <c r="AF233" s="2253"/>
      <c r="AG233" s="2253"/>
      <c r="AH233" s="2253"/>
      <c r="AI233" s="2253"/>
      <c r="AJ233" s="2253"/>
      <c r="AK233" s="2253"/>
      <c r="AL233" s="2253"/>
      <c r="AM233" s="2253"/>
      <c r="AN233" s="2253"/>
      <c r="AO233" s="2253"/>
      <c r="AP233" s="2253"/>
      <c r="AQ233" s="2253"/>
      <c r="AR233" s="2253"/>
      <c r="AS233" s="2253"/>
      <c r="AT233" s="2253"/>
      <c r="AU233" s="2253"/>
      <c r="AV233" s="2253"/>
      <c r="AW233" s="2253"/>
      <c r="AX233" s="2253"/>
      <c r="AY233" s="2253"/>
      <c r="AZ233" s="2253"/>
      <c r="BA233" s="968"/>
      <c r="BB233" s="968"/>
      <c r="BC233" s="968"/>
      <c r="BD233" s="971"/>
      <c r="BE233" s="971"/>
    </row>
    <row r="234" spans="1:57" ht="15.75" customHeight="1">
      <c r="A234" s="968"/>
      <c r="B234" s="967"/>
      <c r="C234" s="968"/>
      <c r="D234" s="968"/>
      <c r="E234" s="968"/>
      <c r="F234" s="968"/>
      <c r="G234" s="968"/>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2253"/>
      <c r="AD234" s="2253"/>
      <c r="AE234" s="2253"/>
      <c r="AF234" s="2253"/>
      <c r="AG234" s="2253"/>
      <c r="AH234" s="2253"/>
      <c r="AI234" s="2253"/>
      <c r="AJ234" s="2253"/>
      <c r="AK234" s="2253"/>
      <c r="AL234" s="2253"/>
      <c r="AM234" s="2253"/>
      <c r="AN234" s="2253"/>
      <c r="AO234" s="2253"/>
      <c r="AP234" s="2253"/>
      <c r="AQ234" s="2253"/>
      <c r="AR234" s="2253"/>
      <c r="AS234" s="2253"/>
      <c r="AT234" s="2253"/>
      <c r="AU234" s="2253"/>
      <c r="AV234" s="2253"/>
      <c r="AW234" s="2253"/>
      <c r="AX234" s="2253"/>
      <c r="AY234" s="2253"/>
      <c r="AZ234" s="2253"/>
      <c r="BA234" s="968"/>
      <c r="BB234" s="968"/>
      <c r="BC234" s="968"/>
      <c r="BD234" s="971"/>
      <c r="BE234" s="971"/>
    </row>
    <row r="235" spans="1:57" ht="15.75" customHeight="1">
      <c r="A235" s="968"/>
      <c r="B235" s="967"/>
      <c r="C235" s="968"/>
      <c r="D235" s="968"/>
      <c r="E235" s="968"/>
      <c r="F235" s="968"/>
      <c r="G235" s="968"/>
      <c r="H235" s="2253"/>
      <c r="I235" s="2253"/>
      <c r="J235" s="2253"/>
      <c r="K235" s="2253"/>
      <c r="L235" s="2253"/>
      <c r="M235" s="2253"/>
      <c r="N235" s="2253"/>
      <c r="O235" s="2253"/>
      <c r="P235" s="2253"/>
      <c r="Q235" s="2253"/>
      <c r="R235" s="2253"/>
      <c r="S235" s="2253"/>
      <c r="T235" s="2253"/>
      <c r="U235" s="2253"/>
      <c r="V235" s="2253"/>
      <c r="W235" s="2253"/>
      <c r="X235" s="2253"/>
      <c r="Y235" s="2253"/>
      <c r="Z235" s="2253"/>
      <c r="AA235" s="2253"/>
      <c r="AB235" s="2253"/>
      <c r="AC235" s="2253"/>
      <c r="AD235" s="2253"/>
      <c r="AE235" s="2253"/>
      <c r="AF235" s="2253"/>
      <c r="AG235" s="2253"/>
      <c r="AH235" s="2253"/>
      <c r="AI235" s="2253"/>
      <c r="AJ235" s="2253"/>
      <c r="AK235" s="2253"/>
      <c r="AL235" s="2253"/>
      <c r="AM235" s="2253"/>
      <c r="AN235" s="2253"/>
      <c r="AO235" s="2253"/>
      <c r="AP235" s="2253"/>
      <c r="AQ235" s="2253"/>
      <c r="AR235" s="2253"/>
      <c r="AS235" s="2253"/>
      <c r="AT235" s="2253"/>
      <c r="AU235" s="2253"/>
      <c r="AV235" s="2253"/>
      <c r="AW235" s="2253"/>
      <c r="AX235" s="2253"/>
      <c r="AY235" s="2253"/>
      <c r="AZ235" s="2253"/>
      <c r="BA235" s="968"/>
      <c r="BB235" s="968"/>
      <c r="BC235" s="968"/>
      <c r="BD235" s="971"/>
      <c r="BE235" s="971"/>
    </row>
    <row r="236" spans="1:57" ht="15.75" customHeight="1">
      <c r="A236" s="968"/>
      <c r="B236" s="967"/>
      <c r="C236" s="968"/>
      <c r="D236" s="968"/>
      <c r="E236" s="968"/>
      <c r="F236" s="968"/>
      <c r="G236" s="968"/>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c r="AL236" s="968"/>
      <c r="AM236" s="968"/>
      <c r="AN236" s="968"/>
      <c r="AO236" s="968"/>
      <c r="AP236" s="968"/>
      <c r="AQ236" s="968"/>
      <c r="AR236" s="968"/>
      <c r="AS236" s="968"/>
      <c r="AT236" s="968"/>
      <c r="AU236" s="968"/>
      <c r="AV236" s="968"/>
      <c r="AW236" s="968"/>
      <c r="AX236" s="968"/>
      <c r="AY236" s="968"/>
      <c r="AZ236" s="968"/>
      <c r="BA236" s="968"/>
      <c r="BB236" s="968"/>
      <c r="BC236" s="968"/>
      <c r="BD236" s="971"/>
      <c r="BE236" s="971"/>
    </row>
    <row r="237" spans="1:57" ht="15.75" customHeight="1" thickBot="1">
      <c r="A237" s="968"/>
      <c r="B237" s="1012"/>
      <c r="C237" s="1013"/>
      <c r="D237" s="1013"/>
      <c r="E237" s="1013"/>
      <c r="F237" s="1013"/>
      <c r="G237" s="1013"/>
      <c r="H237" s="2254" t="s">
        <v>2084</v>
      </c>
      <c r="I237" s="2254"/>
      <c r="J237" s="2254"/>
      <c r="K237" s="2254"/>
      <c r="L237" s="2254"/>
      <c r="M237" s="2254"/>
      <c r="N237" s="2254"/>
      <c r="O237" s="2254"/>
      <c r="P237" s="2254"/>
      <c r="Q237" s="2254"/>
      <c r="R237" s="2254"/>
      <c r="S237" s="2254"/>
      <c r="T237" s="2254"/>
      <c r="U237" s="2254"/>
      <c r="V237" s="2254"/>
      <c r="W237" s="2254"/>
      <c r="X237" s="2254"/>
      <c r="Y237" s="2254"/>
      <c r="Z237" s="2254"/>
      <c r="AA237" s="2254"/>
      <c r="AB237" s="2254"/>
      <c r="AC237" s="2254"/>
      <c r="AD237" s="2254"/>
      <c r="AE237" s="2254"/>
      <c r="AF237" s="2254"/>
      <c r="AG237" s="2254"/>
      <c r="AH237" s="2254"/>
      <c r="AI237" s="2254"/>
      <c r="AJ237" s="2254"/>
      <c r="AK237" s="2254"/>
      <c r="AL237" s="2254"/>
      <c r="AM237" s="2254"/>
      <c r="AN237" s="2254"/>
      <c r="AO237" s="2254"/>
      <c r="AP237" s="2254"/>
      <c r="AQ237" s="2254"/>
      <c r="AR237" s="2254"/>
      <c r="AS237" s="2254"/>
      <c r="AT237" s="2254"/>
      <c r="AU237" s="2254"/>
      <c r="AV237" s="2254"/>
      <c r="AW237" s="1013"/>
      <c r="AX237" s="1013"/>
      <c r="AY237" s="1013"/>
      <c r="AZ237" s="1013"/>
      <c r="BA237" s="1013"/>
      <c r="BB237" s="1013"/>
      <c r="BC237" s="1013"/>
      <c r="BD237" s="1014"/>
      <c r="BE237" s="971"/>
    </row>
    <row r="238" spans="1:57" ht="15.75" customHeight="1" thickBot="1">
      <c r="A238" s="968"/>
      <c r="B238" s="1015"/>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7"/>
      <c r="BE238" s="971"/>
    </row>
    <row r="239" spans="1:57" ht="30" customHeight="1" thickBot="1">
      <c r="A239" s="968"/>
      <c r="B239" s="1015"/>
      <c r="C239" s="1016"/>
      <c r="D239" s="1016"/>
      <c r="E239" s="1016"/>
      <c r="F239" s="1016"/>
      <c r="G239" s="1016"/>
      <c r="H239" s="2244" t="s">
        <v>2085</v>
      </c>
      <c r="I239" s="2244"/>
      <c r="J239" s="2244"/>
      <c r="K239" s="2244"/>
      <c r="L239" s="1016"/>
      <c r="M239" s="1016"/>
      <c r="N239" s="1016"/>
      <c r="O239" s="1016"/>
      <c r="P239" s="1016"/>
      <c r="Q239" s="1016"/>
      <c r="R239" s="1016"/>
      <c r="S239" s="2255"/>
      <c r="T239" s="2256"/>
      <c r="U239" s="2256"/>
      <c r="V239" s="2256"/>
      <c r="W239" s="2256"/>
      <c r="X239" s="2256"/>
      <c r="Y239" s="2256"/>
      <c r="Z239" s="2256"/>
      <c r="AA239" s="2256"/>
      <c r="AB239" s="2256"/>
      <c r="AC239" s="2256"/>
      <c r="AD239" s="2256"/>
      <c r="AE239" s="2256"/>
      <c r="AF239" s="2256"/>
      <c r="AG239" s="2256"/>
      <c r="AH239" s="2256"/>
      <c r="AI239" s="2256"/>
      <c r="AJ239" s="2257"/>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7"/>
      <c r="BE239" s="971"/>
    </row>
    <row r="240" spans="1:57" ht="15.75" customHeight="1" thickBot="1">
      <c r="A240" s="968"/>
      <c r="B240" s="1015"/>
      <c r="C240" s="1016"/>
      <c r="D240" s="1016"/>
      <c r="E240" s="1016"/>
      <c r="F240" s="1016"/>
      <c r="G240" s="1016"/>
      <c r="H240" s="1018"/>
      <c r="I240" s="1018"/>
      <c r="J240" s="1018"/>
      <c r="K240" s="1018"/>
      <c r="L240" s="1016"/>
      <c r="M240" s="1016"/>
      <c r="N240" s="1016"/>
      <c r="O240" s="1016"/>
      <c r="P240" s="1016"/>
      <c r="Q240" s="1016"/>
      <c r="R240" s="1016"/>
      <c r="S240" s="1016"/>
      <c r="T240" s="1016"/>
      <c r="U240" s="1016"/>
      <c r="V240" s="1016"/>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7"/>
      <c r="BE240" s="971"/>
    </row>
    <row r="241" spans="1:57" ht="15.75" customHeight="1" thickBot="1">
      <c r="A241" s="968"/>
      <c r="B241" s="1015"/>
      <c r="C241" s="1016"/>
      <c r="D241" s="1016"/>
      <c r="E241" s="1016"/>
      <c r="F241" s="1016"/>
      <c r="G241" s="1016"/>
      <c r="H241" s="2244" t="s">
        <v>1984</v>
      </c>
      <c r="I241" s="2244"/>
      <c r="J241" s="2244"/>
      <c r="K241" s="1018"/>
      <c r="L241" s="1016"/>
      <c r="M241" s="1016"/>
      <c r="N241" s="1016"/>
      <c r="O241" s="1016"/>
      <c r="P241" s="1016"/>
      <c r="Q241" s="1016"/>
      <c r="R241" s="1016"/>
      <c r="S241" s="2245"/>
      <c r="T241" s="2246"/>
      <c r="U241" s="2246"/>
      <c r="V241" s="2246"/>
      <c r="W241" s="2246"/>
      <c r="X241" s="2246"/>
      <c r="Y241" s="2246"/>
      <c r="Z241" s="2246"/>
      <c r="AA241" s="2246"/>
      <c r="AB241" s="2246"/>
      <c r="AC241" s="2246"/>
      <c r="AD241" s="2246"/>
      <c r="AE241" s="2246"/>
      <c r="AF241" s="2246"/>
      <c r="AG241" s="2246"/>
      <c r="AH241" s="2246"/>
      <c r="AI241" s="2246"/>
      <c r="AJ241" s="2247"/>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7"/>
      <c r="BE241" s="971"/>
    </row>
    <row r="242" spans="1:57" ht="15.75" customHeight="1" thickBot="1">
      <c r="A242" s="968"/>
      <c r="B242" s="1015"/>
      <c r="C242" s="1016"/>
      <c r="D242" s="1016"/>
      <c r="E242" s="1016"/>
      <c r="F242" s="1016"/>
      <c r="G242" s="1016"/>
      <c r="H242" s="1018"/>
      <c r="I242" s="1018"/>
      <c r="J242" s="1018"/>
      <c r="K242" s="1018"/>
      <c r="L242" s="1016"/>
      <c r="M242" s="1016"/>
      <c r="N242" s="1016"/>
      <c r="O242" s="1016"/>
      <c r="P242" s="1016"/>
      <c r="Q242" s="1016"/>
      <c r="R242" s="1016"/>
      <c r="S242" s="1016"/>
      <c r="T242" s="1016"/>
      <c r="U242" s="1016"/>
      <c r="V242" s="1016"/>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7"/>
      <c r="BE242" s="971"/>
    </row>
    <row r="243" spans="1:57" ht="15.75" customHeight="1" thickBot="1">
      <c r="A243" s="968"/>
      <c r="B243" s="1015"/>
      <c r="C243" s="1016"/>
      <c r="D243" s="1016"/>
      <c r="E243" s="1016"/>
      <c r="F243" s="1016"/>
      <c r="G243" s="1016"/>
      <c r="H243" s="2244" t="s">
        <v>812</v>
      </c>
      <c r="I243" s="2244"/>
      <c r="J243" s="1018"/>
      <c r="K243" s="1018"/>
      <c r="L243" s="1016"/>
      <c r="M243" s="1016"/>
      <c r="N243" s="1016"/>
      <c r="O243" s="1016"/>
      <c r="P243" s="1016"/>
      <c r="Q243" s="1016"/>
      <c r="R243" s="1016"/>
      <c r="S243" s="2245"/>
      <c r="T243" s="2246"/>
      <c r="U243" s="2246"/>
      <c r="V243" s="2246"/>
      <c r="W243" s="2246"/>
      <c r="X243" s="2246"/>
      <c r="Y243" s="2246"/>
      <c r="Z243" s="2246"/>
      <c r="AA243" s="2246"/>
      <c r="AB243" s="2246"/>
      <c r="AC243" s="2246"/>
      <c r="AD243" s="2246"/>
      <c r="AE243" s="2246"/>
      <c r="AF243" s="2246"/>
      <c r="AG243" s="2246"/>
      <c r="AH243" s="2246"/>
      <c r="AI243" s="2246"/>
      <c r="AJ243" s="2247"/>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7"/>
      <c r="BE243" s="971"/>
    </row>
    <row r="244" spans="1:57" ht="15.75" customHeight="1" thickBot="1">
      <c r="A244" s="968"/>
      <c r="B244" s="1015"/>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7"/>
      <c r="BE244" s="971"/>
    </row>
    <row r="245" spans="1:57" ht="15.75" customHeight="1" thickBot="1">
      <c r="A245" s="968"/>
      <c r="B245" s="1015"/>
      <c r="C245" s="1016"/>
      <c r="D245" s="1016"/>
      <c r="E245" s="1016"/>
      <c r="F245" s="1016"/>
      <c r="G245" s="1016"/>
      <c r="H245" s="2248" t="s">
        <v>2086</v>
      </c>
      <c r="I245" s="2248"/>
      <c r="J245" s="2248"/>
      <c r="K245" s="2248"/>
      <c r="L245" s="2248"/>
      <c r="M245" s="2248"/>
      <c r="N245" s="2248"/>
      <c r="O245" s="2248"/>
      <c r="P245" s="1016"/>
      <c r="Q245" s="1016"/>
      <c r="R245" s="1016"/>
      <c r="S245" s="2245"/>
      <c r="T245" s="2246"/>
      <c r="U245" s="2246"/>
      <c r="V245" s="2246"/>
      <c r="W245" s="2246"/>
      <c r="X245" s="2246"/>
      <c r="Y245" s="2246"/>
      <c r="Z245" s="2246"/>
      <c r="AA245" s="2246"/>
      <c r="AB245" s="2246"/>
      <c r="AC245" s="2246"/>
      <c r="AD245" s="2246"/>
      <c r="AE245" s="2246"/>
      <c r="AF245" s="2246"/>
      <c r="AG245" s="2246"/>
      <c r="AH245" s="2246"/>
      <c r="AI245" s="2246"/>
      <c r="AJ245" s="2247"/>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7"/>
      <c r="BE245" s="971"/>
    </row>
    <row r="246" spans="1:57" ht="15.75" customHeight="1" thickBot="1">
      <c r="A246" s="968"/>
      <c r="B246" s="1015"/>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7"/>
      <c r="BE246" s="971"/>
    </row>
    <row r="247" spans="1:57" ht="15.75" customHeight="1" thickBot="1">
      <c r="A247" s="968"/>
      <c r="B247" s="1015"/>
      <c r="C247" s="1016"/>
      <c r="D247" s="1016"/>
      <c r="E247" s="1016"/>
      <c r="F247" s="1016"/>
      <c r="G247" s="1016"/>
      <c r="H247" s="2249" t="s">
        <v>2087</v>
      </c>
      <c r="I247" s="2249"/>
      <c r="J247" s="1016"/>
      <c r="K247" s="1016"/>
      <c r="L247" s="1016"/>
      <c r="M247" s="1016"/>
      <c r="N247" s="1016"/>
      <c r="O247" s="1016"/>
      <c r="P247" s="1016"/>
      <c r="Q247" s="1016"/>
      <c r="R247" s="1016"/>
      <c r="S247" s="2250"/>
      <c r="T247" s="2251"/>
      <c r="U247" s="2251"/>
      <c r="V247" s="2251"/>
      <c r="W247" s="2251"/>
      <c r="X247" s="2251"/>
      <c r="Y247" s="2251"/>
      <c r="Z247" s="2251"/>
      <c r="AA247" s="2251"/>
      <c r="AB247" s="2251"/>
      <c r="AC247" s="2251"/>
      <c r="AD247" s="2251"/>
      <c r="AE247" s="2251"/>
      <c r="AF247" s="2251"/>
      <c r="AG247" s="2251"/>
      <c r="AH247" s="2251"/>
      <c r="AI247" s="2251"/>
      <c r="AJ247" s="2252"/>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7"/>
      <c r="BE247" s="971"/>
    </row>
    <row r="248" spans="1:57" ht="15.75" customHeight="1" thickBot="1">
      <c r="A248" s="968"/>
      <c r="B248" s="1019"/>
      <c r="C248" s="1020"/>
      <c r="D248" s="1020"/>
      <c r="E248" s="1020"/>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0"/>
      <c r="AT248" s="1020"/>
      <c r="AU248" s="1020"/>
      <c r="AV248" s="1020"/>
      <c r="AW248" s="1020"/>
      <c r="AX248" s="1020"/>
      <c r="AY248" s="1020"/>
      <c r="AZ248" s="1020"/>
      <c r="BA248" s="1020"/>
      <c r="BB248" s="1020"/>
      <c r="BC248" s="1020"/>
      <c r="BD248" s="1021"/>
      <c r="BE248" s="971"/>
    </row>
    <row r="249" spans="1:57" ht="15.75" customHeight="1" thickBot="1">
      <c r="A249" s="1013"/>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c r="AY249" s="1013"/>
      <c r="AZ249" s="1013"/>
      <c r="BA249" s="1013"/>
      <c r="BB249" s="1013"/>
      <c r="BC249" s="1013"/>
      <c r="BD249" s="1013"/>
      <c r="BE249" s="1014"/>
    </row>
    <row r="252" spans="1:57" ht="15.75" customHeight="1">
      <c r="D252" s="966"/>
    </row>
    <row r="253" spans="1:57" ht="15.75" customHeight="1">
      <c r="D253" s="1022"/>
    </row>
    <row r="254" spans="1:57" ht="15.75" customHeight="1">
      <c r="D254" s="966"/>
    </row>
    <row r="255" spans="1:57" ht="15.75" customHeight="1">
      <c r="D255" s="966"/>
    </row>
    <row r="256" spans="1:57" ht="15.75" customHeight="1">
      <c r="R256" s="965"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workbookViewId="0">
      <selection activeCell="AB50" sqref="AB50:AF50"/>
    </sheetView>
  </sheetViews>
  <sheetFormatPr defaultColWidth="0" defaultRowHeight="13" customHeight="1"/>
  <cols>
    <col min="1" max="1" width="1.453125" style="272" customWidth="1"/>
    <col min="2" max="2" width="0.81640625" style="272" customWidth="1"/>
    <col min="3" max="18" width="2.453125" style="272" customWidth="1"/>
    <col min="19" max="19" width="6.26953125" style="272" customWidth="1"/>
    <col min="20" max="39" width="2.7265625" style="272" customWidth="1"/>
    <col min="40" max="40" width="1.453125" style="272" customWidth="1"/>
    <col min="41" max="256" width="2.453125" style="272" hidden="1"/>
    <col min="257" max="257" width="1.453125" style="272" hidden="1" customWidth="1"/>
    <col min="258" max="258" width="0.81640625" style="272" hidden="1" customWidth="1"/>
    <col min="259" max="274" width="2.453125" style="272" hidden="1" customWidth="1"/>
    <col min="275" max="275" width="4" style="272" hidden="1" customWidth="1"/>
    <col min="276" max="295" width="2.453125" style="272" hidden="1" customWidth="1"/>
    <col min="296" max="296" width="1.453125" style="272" hidden="1" customWidth="1"/>
    <col min="297" max="512" width="2.453125" style="272" hidden="1"/>
    <col min="513" max="513" width="1.453125" style="272" hidden="1" customWidth="1"/>
    <col min="514" max="514" width="0.81640625" style="272" hidden="1" customWidth="1"/>
    <col min="515" max="530" width="2.453125" style="272" hidden="1" customWidth="1"/>
    <col min="531" max="531" width="4" style="272" hidden="1" customWidth="1"/>
    <col min="532" max="551" width="2.453125" style="272" hidden="1" customWidth="1"/>
    <col min="552" max="552" width="1.453125" style="272" hidden="1" customWidth="1"/>
    <col min="553" max="768" width="2.453125" style="272" hidden="1"/>
    <col min="769" max="769" width="1.453125" style="272" hidden="1" customWidth="1"/>
    <col min="770" max="770" width="0.81640625" style="272" hidden="1" customWidth="1"/>
    <col min="771" max="786" width="2.453125" style="272" hidden="1" customWidth="1"/>
    <col min="787" max="787" width="4" style="272" hidden="1" customWidth="1"/>
    <col min="788" max="807" width="2.453125" style="272" hidden="1" customWidth="1"/>
    <col min="808" max="808" width="1.453125" style="272" hidden="1" customWidth="1"/>
    <col min="809" max="1024" width="2.453125" style="272" hidden="1"/>
    <col min="1025" max="1025" width="1.453125" style="272" hidden="1" customWidth="1"/>
    <col min="1026" max="1026" width="0.81640625" style="272" hidden="1" customWidth="1"/>
    <col min="1027" max="1042" width="2.453125" style="272" hidden="1" customWidth="1"/>
    <col min="1043" max="1043" width="4" style="272" hidden="1" customWidth="1"/>
    <col min="1044" max="1063" width="2.453125" style="272" hidden="1" customWidth="1"/>
    <col min="1064" max="1064" width="1.453125" style="272" hidden="1" customWidth="1"/>
    <col min="1065" max="1280" width="2.453125" style="272" hidden="1"/>
    <col min="1281" max="1281" width="1.453125" style="272" hidden="1" customWidth="1"/>
    <col min="1282" max="1282" width="0.81640625" style="272" hidden="1" customWidth="1"/>
    <col min="1283" max="1298" width="2.453125" style="272" hidden="1" customWidth="1"/>
    <col min="1299" max="1299" width="4" style="272" hidden="1" customWidth="1"/>
    <col min="1300" max="1319" width="2.453125" style="272" hidden="1" customWidth="1"/>
    <col min="1320" max="1320" width="1.453125" style="272" hidden="1" customWidth="1"/>
    <col min="1321" max="1536" width="2.453125" style="272" hidden="1"/>
    <col min="1537" max="1537" width="1.453125" style="272" hidden="1" customWidth="1"/>
    <col min="1538" max="1538" width="0.81640625" style="272" hidden="1" customWidth="1"/>
    <col min="1539" max="1554" width="2.453125" style="272" hidden="1" customWidth="1"/>
    <col min="1555" max="1555" width="4" style="272" hidden="1" customWidth="1"/>
    <col min="1556" max="1575" width="2.453125" style="272" hidden="1" customWidth="1"/>
    <col min="1576" max="1576" width="1.453125" style="272" hidden="1" customWidth="1"/>
    <col min="1577" max="1792" width="2.453125" style="272" hidden="1"/>
    <col min="1793" max="1793" width="1.453125" style="272" hidden="1" customWidth="1"/>
    <col min="1794" max="1794" width="0.81640625" style="272" hidden="1" customWidth="1"/>
    <col min="1795" max="1810" width="2.453125" style="272" hidden="1" customWidth="1"/>
    <col min="1811" max="1811" width="4" style="272" hidden="1" customWidth="1"/>
    <col min="1812" max="1831" width="2.453125" style="272" hidden="1" customWidth="1"/>
    <col min="1832" max="1832" width="1.453125" style="272" hidden="1" customWidth="1"/>
    <col min="1833" max="2048" width="2.453125" style="272" hidden="1"/>
    <col min="2049" max="2049" width="1.453125" style="272" hidden="1" customWidth="1"/>
    <col min="2050" max="2050" width="0.81640625" style="272" hidden="1" customWidth="1"/>
    <col min="2051" max="2066" width="2.453125" style="272" hidden="1" customWidth="1"/>
    <col min="2067" max="2067" width="4" style="272" hidden="1" customWidth="1"/>
    <col min="2068" max="2087" width="2.453125" style="272" hidden="1" customWidth="1"/>
    <col min="2088" max="2088" width="1.453125" style="272" hidden="1" customWidth="1"/>
    <col min="2089" max="2304" width="2.453125" style="272" hidden="1"/>
    <col min="2305" max="2305" width="1.453125" style="272" hidden="1" customWidth="1"/>
    <col min="2306" max="2306" width="0.81640625" style="272" hidden="1" customWidth="1"/>
    <col min="2307" max="2322" width="2.453125" style="272" hidden="1" customWidth="1"/>
    <col min="2323" max="2323" width="4" style="272" hidden="1" customWidth="1"/>
    <col min="2324" max="2343" width="2.453125" style="272" hidden="1" customWidth="1"/>
    <col min="2344" max="2344" width="1.453125" style="272" hidden="1" customWidth="1"/>
    <col min="2345" max="2560" width="2.453125" style="272" hidden="1"/>
    <col min="2561" max="2561" width="1.453125" style="272" hidden="1" customWidth="1"/>
    <col min="2562" max="2562" width="0.81640625" style="272" hidden="1" customWidth="1"/>
    <col min="2563" max="2578" width="2.453125" style="272" hidden="1" customWidth="1"/>
    <col min="2579" max="2579" width="4" style="272" hidden="1" customWidth="1"/>
    <col min="2580" max="2599" width="2.453125" style="272" hidden="1" customWidth="1"/>
    <col min="2600" max="2600" width="1.453125" style="272" hidden="1" customWidth="1"/>
    <col min="2601" max="2816" width="2.453125" style="272" hidden="1"/>
    <col min="2817" max="2817" width="1.453125" style="272" hidden="1" customWidth="1"/>
    <col min="2818" max="2818" width="0.81640625" style="272" hidden="1" customWidth="1"/>
    <col min="2819" max="2834" width="2.453125" style="272" hidden="1" customWidth="1"/>
    <col min="2835" max="2835" width="4" style="272" hidden="1" customWidth="1"/>
    <col min="2836" max="2855" width="2.453125" style="272" hidden="1" customWidth="1"/>
    <col min="2856" max="2856" width="1.453125" style="272" hidden="1" customWidth="1"/>
    <col min="2857" max="3072" width="2.453125" style="272" hidden="1"/>
    <col min="3073" max="3073" width="1.453125" style="272" hidden="1" customWidth="1"/>
    <col min="3074" max="3074" width="0.81640625" style="272" hidden="1" customWidth="1"/>
    <col min="3075" max="3090" width="2.453125" style="272" hidden="1" customWidth="1"/>
    <col min="3091" max="3091" width="4" style="272" hidden="1" customWidth="1"/>
    <col min="3092" max="3111" width="2.453125" style="272" hidden="1" customWidth="1"/>
    <col min="3112" max="3112" width="1.453125" style="272" hidden="1" customWidth="1"/>
    <col min="3113" max="3328" width="2.453125" style="272" hidden="1"/>
    <col min="3329" max="3329" width="1.453125" style="272" hidden="1" customWidth="1"/>
    <col min="3330" max="3330" width="0.81640625" style="272" hidden="1" customWidth="1"/>
    <col min="3331" max="3346" width="2.453125" style="272" hidden="1" customWidth="1"/>
    <col min="3347" max="3347" width="4" style="272" hidden="1" customWidth="1"/>
    <col min="3348" max="3367" width="2.453125" style="272" hidden="1" customWidth="1"/>
    <col min="3368" max="3368" width="1.453125" style="272" hidden="1" customWidth="1"/>
    <col min="3369" max="3584" width="2.453125" style="272" hidden="1"/>
    <col min="3585" max="3585" width="1.453125" style="272" hidden="1" customWidth="1"/>
    <col min="3586" max="3586" width="0.81640625" style="272" hidden="1" customWidth="1"/>
    <col min="3587" max="3602" width="2.453125" style="272" hidden="1" customWidth="1"/>
    <col min="3603" max="3603" width="4" style="272" hidden="1" customWidth="1"/>
    <col min="3604" max="3623" width="2.453125" style="272" hidden="1" customWidth="1"/>
    <col min="3624" max="3624" width="1.453125" style="272" hidden="1" customWidth="1"/>
    <col min="3625" max="3840" width="2.453125" style="272" hidden="1"/>
    <col min="3841" max="3841" width="1.453125" style="272" hidden="1" customWidth="1"/>
    <col min="3842" max="3842" width="0.81640625" style="272" hidden="1" customWidth="1"/>
    <col min="3843" max="3858" width="2.453125" style="272" hidden="1" customWidth="1"/>
    <col min="3859" max="3859" width="4" style="272" hidden="1" customWidth="1"/>
    <col min="3860" max="3879" width="2.453125" style="272" hidden="1" customWidth="1"/>
    <col min="3880" max="3880" width="1.453125" style="272" hidden="1" customWidth="1"/>
    <col min="3881" max="4096" width="2.453125" style="272" hidden="1"/>
    <col min="4097" max="4097" width="1.453125" style="272" hidden="1" customWidth="1"/>
    <col min="4098" max="4098" width="0.81640625" style="272" hidden="1" customWidth="1"/>
    <col min="4099" max="4114" width="2.453125" style="272" hidden="1" customWidth="1"/>
    <col min="4115" max="4115" width="4" style="272" hidden="1" customWidth="1"/>
    <col min="4116" max="4135" width="2.453125" style="272" hidden="1" customWidth="1"/>
    <col min="4136" max="4136" width="1.453125" style="272" hidden="1" customWidth="1"/>
    <col min="4137" max="4352" width="2.453125" style="272" hidden="1"/>
    <col min="4353" max="4353" width="1.453125" style="272" hidden="1" customWidth="1"/>
    <col min="4354" max="4354" width="0.81640625" style="272" hidden="1" customWidth="1"/>
    <col min="4355" max="4370" width="2.453125" style="272" hidden="1" customWidth="1"/>
    <col min="4371" max="4371" width="4" style="272" hidden="1" customWidth="1"/>
    <col min="4372" max="4391" width="2.453125" style="272" hidden="1" customWidth="1"/>
    <col min="4392" max="4392" width="1.453125" style="272" hidden="1" customWidth="1"/>
    <col min="4393" max="4608" width="2.453125" style="272" hidden="1"/>
    <col min="4609" max="4609" width="1.453125" style="272" hidden="1" customWidth="1"/>
    <col min="4610" max="4610" width="0.81640625" style="272" hidden="1" customWidth="1"/>
    <col min="4611" max="4626" width="2.453125" style="272" hidden="1" customWidth="1"/>
    <col min="4627" max="4627" width="4" style="272" hidden="1" customWidth="1"/>
    <col min="4628" max="4647" width="2.453125" style="272" hidden="1" customWidth="1"/>
    <col min="4648" max="4648" width="1.453125" style="272" hidden="1" customWidth="1"/>
    <col min="4649" max="4864" width="2.453125" style="272" hidden="1"/>
    <col min="4865" max="4865" width="1.453125" style="272" hidden="1" customWidth="1"/>
    <col min="4866" max="4866" width="0.81640625" style="272" hidden="1" customWidth="1"/>
    <col min="4867" max="4882" width="2.453125" style="272" hidden="1" customWidth="1"/>
    <col min="4883" max="4883" width="4" style="272" hidden="1" customWidth="1"/>
    <col min="4884" max="4903" width="2.453125" style="272" hidden="1" customWidth="1"/>
    <col min="4904" max="4904" width="1.453125" style="272" hidden="1" customWidth="1"/>
    <col min="4905" max="5120" width="2.453125" style="272" hidden="1"/>
    <col min="5121" max="5121" width="1.453125" style="272" hidden="1" customWidth="1"/>
    <col min="5122" max="5122" width="0.81640625" style="272" hidden="1" customWidth="1"/>
    <col min="5123" max="5138" width="2.453125" style="272" hidden="1" customWidth="1"/>
    <col min="5139" max="5139" width="4" style="272" hidden="1" customWidth="1"/>
    <col min="5140" max="5159" width="2.453125" style="272" hidden="1" customWidth="1"/>
    <col min="5160" max="5160" width="1.453125" style="272" hidden="1" customWidth="1"/>
    <col min="5161" max="5376" width="2.453125" style="272" hidden="1"/>
    <col min="5377" max="5377" width="1.453125" style="272" hidden="1" customWidth="1"/>
    <col min="5378" max="5378" width="0.81640625" style="272" hidden="1" customWidth="1"/>
    <col min="5379" max="5394" width="2.453125" style="272" hidden="1" customWidth="1"/>
    <col min="5395" max="5395" width="4" style="272" hidden="1" customWidth="1"/>
    <col min="5396" max="5415" width="2.453125" style="272" hidden="1" customWidth="1"/>
    <col min="5416" max="5416" width="1.453125" style="272" hidden="1" customWidth="1"/>
    <col min="5417" max="5632" width="2.453125" style="272" hidden="1"/>
    <col min="5633" max="5633" width="1.453125" style="272" hidden="1" customWidth="1"/>
    <col min="5634" max="5634" width="0.81640625" style="272" hidden="1" customWidth="1"/>
    <col min="5635" max="5650" width="2.453125" style="272" hidden="1" customWidth="1"/>
    <col min="5651" max="5651" width="4" style="272" hidden="1" customWidth="1"/>
    <col min="5652" max="5671" width="2.453125" style="272" hidden="1" customWidth="1"/>
    <col min="5672" max="5672" width="1.453125" style="272" hidden="1" customWidth="1"/>
    <col min="5673" max="5888" width="2.453125" style="272" hidden="1"/>
    <col min="5889" max="5889" width="1.453125" style="272" hidden="1" customWidth="1"/>
    <col min="5890" max="5890" width="0.81640625" style="272" hidden="1" customWidth="1"/>
    <col min="5891" max="5906" width="2.453125" style="272" hidden="1" customWidth="1"/>
    <col min="5907" max="5907" width="4" style="272" hidden="1" customWidth="1"/>
    <col min="5908" max="5927" width="2.453125" style="272" hidden="1" customWidth="1"/>
    <col min="5928" max="5928" width="1.453125" style="272" hidden="1" customWidth="1"/>
    <col min="5929" max="6144" width="2.453125" style="272" hidden="1"/>
    <col min="6145" max="6145" width="1.453125" style="272" hidden="1" customWidth="1"/>
    <col min="6146" max="6146" width="0.81640625" style="272" hidden="1" customWidth="1"/>
    <col min="6147" max="6162" width="2.453125" style="272" hidden="1" customWidth="1"/>
    <col min="6163" max="6163" width="4" style="272" hidden="1" customWidth="1"/>
    <col min="6164" max="6183" width="2.453125" style="272" hidden="1" customWidth="1"/>
    <col min="6184" max="6184" width="1.453125" style="272" hidden="1" customWidth="1"/>
    <col min="6185" max="6400" width="2.453125" style="272" hidden="1"/>
    <col min="6401" max="6401" width="1.453125" style="272" hidden="1" customWidth="1"/>
    <col min="6402" max="6402" width="0.81640625" style="272" hidden="1" customWidth="1"/>
    <col min="6403" max="6418" width="2.453125" style="272" hidden="1" customWidth="1"/>
    <col min="6419" max="6419" width="4" style="272" hidden="1" customWidth="1"/>
    <col min="6420" max="6439" width="2.453125" style="272" hidden="1" customWidth="1"/>
    <col min="6440" max="6440" width="1.453125" style="272" hidden="1" customWidth="1"/>
    <col min="6441" max="6656" width="2.453125" style="272" hidden="1"/>
    <col min="6657" max="6657" width="1.453125" style="272" hidden="1" customWidth="1"/>
    <col min="6658" max="6658" width="0.81640625" style="272" hidden="1" customWidth="1"/>
    <col min="6659" max="6674" width="2.453125" style="272" hidden="1" customWidth="1"/>
    <col min="6675" max="6675" width="4" style="272" hidden="1" customWidth="1"/>
    <col min="6676" max="6695" width="2.453125" style="272" hidden="1" customWidth="1"/>
    <col min="6696" max="6696" width="1.453125" style="272" hidden="1" customWidth="1"/>
    <col min="6697" max="6912" width="2.453125" style="272" hidden="1"/>
    <col min="6913" max="6913" width="1.453125" style="272" hidden="1" customWidth="1"/>
    <col min="6914" max="6914" width="0.81640625" style="272" hidden="1" customWidth="1"/>
    <col min="6915" max="6930" width="2.453125" style="272" hidden="1" customWidth="1"/>
    <col min="6931" max="6931" width="4" style="272" hidden="1" customWidth="1"/>
    <col min="6932" max="6951" width="2.453125" style="272" hidden="1" customWidth="1"/>
    <col min="6952" max="6952" width="1.453125" style="272" hidden="1" customWidth="1"/>
    <col min="6953" max="7168" width="2.453125" style="272" hidden="1"/>
    <col min="7169" max="7169" width="1.453125" style="272" hidden="1" customWidth="1"/>
    <col min="7170" max="7170" width="0.81640625" style="272" hidden="1" customWidth="1"/>
    <col min="7171" max="7186" width="2.453125" style="272" hidden="1" customWidth="1"/>
    <col min="7187" max="7187" width="4" style="272" hidden="1" customWidth="1"/>
    <col min="7188" max="7207" width="2.453125" style="272" hidden="1" customWidth="1"/>
    <col min="7208" max="7208" width="1.453125" style="272" hidden="1" customWidth="1"/>
    <col min="7209" max="7424" width="2.453125" style="272" hidden="1"/>
    <col min="7425" max="7425" width="1.453125" style="272" hidden="1" customWidth="1"/>
    <col min="7426" max="7426" width="0.81640625" style="272" hidden="1" customWidth="1"/>
    <col min="7427" max="7442" width="2.453125" style="272" hidden="1" customWidth="1"/>
    <col min="7443" max="7443" width="4" style="272" hidden="1" customWidth="1"/>
    <col min="7444" max="7463" width="2.453125" style="272" hidden="1" customWidth="1"/>
    <col min="7464" max="7464" width="1.453125" style="272" hidden="1" customWidth="1"/>
    <col min="7465" max="7680" width="2.453125" style="272" hidden="1"/>
    <col min="7681" max="7681" width="1.453125" style="272" hidden="1" customWidth="1"/>
    <col min="7682" max="7682" width="0.81640625" style="272" hidden="1" customWidth="1"/>
    <col min="7683" max="7698" width="2.453125" style="272" hidden="1" customWidth="1"/>
    <col min="7699" max="7699" width="4" style="272" hidden="1" customWidth="1"/>
    <col min="7700" max="7719" width="2.453125" style="272" hidden="1" customWidth="1"/>
    <col min="7720" max="7720" width="1.453125" style="272" hidden="1" customWidth="1"/>
    <col min="7721" max="7936" width="2.453125" style="272" hidden="1"/>
    <col min="7937" max="7937" width="1.453125" style="272" hidden="1" customWidth="1"/>
    <col min="7938" max="7938" width="0.81640625" style="272" hidden="1" customWidth="1"/>
    <col min="7939" max="7954" width="2.453125" style="272" hidden="1" customWidth="1"/>
    <col min="7955" max="7955" width="4" style="272" hidden="1" customWidth="1"/>
    <col min="7956" max="7975" width="2.453125" style="272" hidden="1" customWidth="1"/>
    <col min="7976" max="7976" width="1.453125" style="272" hidden="1" customWidth="1"/>
    <col min="7977" max="8192" width="2.453125" style="272" hidden="1"/>
    <col min="8193" max="8193" width="1.453125" style="272" hidden="1" customWidth="1"/>
    <col min="8194" max="8194" width="0.81640625" style="272" hidden="1" customWidth="1"/>
    <col min="8195" max="8210" width="2.453125" style="272" hidden="1" customWidth="1"/>
    <col min="8211" max="8211" width="4" style="272" hidden="1" customWidth="1"/>
    <col min="8212" max="8231" width="2.453125" style="272" hidden="1" customWidth="1"/>
    <col min="8232" max="8232" width="1.453125" style="272" hidden="1" customWidth="1"/>
    <col min="8233" max="8448" width="2.453125" style="272" hidden="1"/>
    <col min="8449" max="8449" width="1.453125" style="272" hidden="1" customWidth="1"/>
    <col min="8450" max="8450" width="0.81640625" style="272" hidden="1" customWidth="1"/>
    <col min="8451" max="8466" width="2.453125" style="272" hidden="1" customWidth="1"/>
    <col min="8467" max="8467" width="4" style="272" hidden="1" customWidth="1"/>
    <col min="8468" max="8487" width="2.453125" style="272" hidden="1" customWidth="1"/>
    <col min="8488" max="8488" width="1.453125" style="272" hidden="1" customWidth="1"/>
    <col min="8489" max="8704" width="2.453125" style="272" hidden="1"/>
    <col min="8705" max="8705" width="1.453125" style="272" hidden="1" customWidth="1"/>
    <col min="8706" max="8706" width="0.81640625" style="272" hidden="1" customWidth="1"/>
    <col min="8707" max="8722" width="2.453125" style="272" hidden="1" customWidth="1"/>
    <col min="8723" max="8723" width="4" style="272" hidden="1" customWidth="1"/>
    <col min="8724" max="8743" width="2.453125" style="272" hidden="1" customWidth="1"/>
    <col min="8744" max="8744" width="1.453125" style="272" hidden="1" customWidth="1"/>
    <col min="8745" max="8960" width="2.453125" style="272" hidden="1"/>
    <col min="8961" max="8961" width="1.453125" style="272" hidden="1" customWidth="1"/>
    <col min="8962" max="8962" width="0.81640625" style="272" hidden="1" customWidth="1"/>
    <col min="8963" max="8978" width="2.453125" style="272" hidden="1" customWidth="1"/>
    <col min="8979" max="8979" width="4" style="272" hidden="1" customWidth="1"/>
    <col min="8980" max="8999" width="2.453125" style="272" hidden="1" customWidth="1"/>
    <col min="9000" max="9000" width="1.453125" style="272" hidden="1" customWidth="1"/>
    <col min="9001" max="9216" width="2.453125" style="272" hidden="1"/>
    <col min="9217" max="9217" width="1.453125" style="272" hidden="1" customWidth="1"/>
    <col min="9218" max="9218" width="0.81640625" style="272" hidden="1" customWidth="1"/>
    <col min="9219" max="9234" width="2.453125" style="272" hidden="1" customWidth="1"/>
    <col min="9235" max="9235" width="4" style="272" hidden="1" customWidth="1"/>
    <col min="9236" max="9255" width="2.453125" style="272" hidden="1" customWidth="1"/>
    <col min="9256" max="9256" width="1.453125" style="272" hidden="1" customWidth="1"/>
    <col min="9257" max="9472" width="2.453125" style="272" hidden="1"/>
    <col min="9473" max="9473" width="1.453125" style="272" hidden="1" customWidth="1"/>
    <col min="9474" max="9474" width="0.81640625" style="272" hidden="1" customWidth="1"/>
    <col min="9475" max="9490" width="2.453125" style="272" hidden="1" customWidth="1"/>
    <col min="9491" max="9491" width="4" style="272" hidden="1" customWidth="1"/>
    <col min="9492" max="9511" width="2.453125" style="272" hidden="1" customWidth="1"/>
    <col min="9512" max="9512" width="1.453125" style="272" hidden="1" customWidth="1"/>
    <col min="9513" max="9728" width="2.453125" style="272" hidden="1"/>
    <col min="9729" max="9729" width="1.453125" style="272" hidden="1" customWidth="1"/>
    <col min="9730" max="9730" width="0.81640625" style="272" hidden="1" customWidth="1"/>
    <col min="9731" max="9746" width="2.453125" style="272" hidden="1" customWidth="1"/>
    <col min="9747" max="9747" width="4" style="272" hidden="1" customWidth="1"/>
    <col min="9748" max="9767" width="2.453125" style="272" hidden="1" customWidth="1"/>
    <col min="9768" max="9768" width="1.453125" style="272" hidden="1" customWidth="1"/>
    <col min="9769" max="9984" width="2.453125" style="272" hidden="1"/>
    <col min="9985" max="9985" width="1.453125" style="272" hidden="1" customWidth="1"/>
    <col min="9986" max="9986" width="0.81640625" style="272" hidden="1" customWidth="1"/>
    <col min="9987" max="10002" width="2.453125" style="272" hidden="1" customWidth="1"/>
    <col min="10003" max="10003" width="4" style="272" hidden="1" customWidth="1"/>
    <col min="10004" max="10023" width="2.453125" style="272" hidden="1" customWidth="1"/>
    <col min="10024" max="10024" width="1.453125" style="272" hidden="1" customWidth="1"/>
    <col min="10025" max="10240" width="2.453125" style="272" hidden="1"/>
    <col min="10241" max="10241" width="1.453125" style="272" hidden="1" customWidth="1"/>
    <col min="10242" max="10242" width="0.81640625" style="272" hidden="1" customWidth="1"/>
    <col min="10243" max="10258" width="2.453125" style="272" hidden="1" customWidth="1"/>
    <col min="10259" max="10259" width="4" style="272" hidden="1" customWidth="1"/>
    <col min="10260" max="10279" width="2.453125" style="272" hidden="1" customWidth="1"/>
    <col min="10280" max="10280" width="1.453125" style="272" hidden="1" customWidth="1"/>
    <col min="10281" max="10496" width="2.453125" style="272" hidden="1"/>
    <col min="10497" max="10497" width="1.453125" style="272" hidden="1" customWidth="1"/>
    <col min="10498" max="10498" width="0.81640625" style="272" hidden="1" customWidth="1"/>
    <col min="10499" max="10514" width="2.453125" style="272" hidden="1" customWidth="1"/>
    <col min="10515" max="10515" width="4" style="272" hidden="1" customWidth="1"/>
    <col min="10516" max="10535" width="2.453125" style="272" hidden="1" customWidth="1"/>
    <col min="10536" max="10536" width="1.453125" style="272" hidden="1" customWidth="1"/>
    <col min="10537" max="10752" width="2.453125" style="272" hidden="1"/>
    <col min="10753" max="10753" width="1.453125" style="272" hidden="1" customWidth="1"/>
    <col min="10754" max="10754" width="0.81640625" style="272" hidden="1" customWidth="1"/>
    <col min="10755" max="10770" width="2.453125" style="272" hidden="1" customWidth="1"/>
    <col min="10771" max="10771" width="4" style="272" hidden="1" customWidth="1"/>
    <col min="10772" max="10791" width="2.453125" style="272" hidden="1" customWidth="1"/>
    <col min="10792" max="10792" width="1.453125" style="272" hidden="1" customWidth="1"/>
    <col min="10793" max="11008" width="2.453125" style="272" hidden="1"/>
    <col min="11009" max="11009" width="1.453125" style="272" hidden="1" customWidth="1"/>
    <col min="11010" max="11010" width="0.81640625" style="272" hidden="1" customWidth="1"/>
    <col min="11011" max="11026" width="2.453125" style="272" hidden="1" customWidth="1"/>
    <col min="11027" max="11027" width="4" style="272" hidden="1" customWidth="1"/>
    <col min="11028" max="11047" width="2.453125" style="272" hidden="1" customWidth="1"/>
    <col min="11048" max="11048" width="1.453125" style="272" hidden="1" customWidth="1"/>
    <col min="11049" max="11264" width="2.453125" style="272" hidden="1"/>
    <col min="11265" max="11265" width="1.453125" style="272" hidden="1" customWidth="1"/>
    <col min="11266" max="11266" width="0.81640625" style="272" hidden="1" customWidth="1"/>
    <col min="11267" max="11282" width="2.453125" style="272" hidden="1" customWidth="1"/>
    <col min="11283" max="11283" width="4" style="272" hidden="1" customWidth="1"/>
    <col min="11284" max="11303" width="2.453125" style="272" hidden="1" customWidth="1"/>
    <col min="11304" max="11304" width="1.453125" style="272" hidden="1" customWidth="1"/>
    <col min="11305" max="11520" width="2.453125" style="272" hidden="1"/>
    <col min="11521" max="11521" width="1.453125" style="272" hidden="1" customWidth="1"/>
    <col min="11522" max="11522" width="0.81640625" style="272" hidden="1" customWidth="1"/>
    <col min="11523" max="11538" width="2.453125" style="272" hidden="1" customWidth="1"/>
    <col min="11539" max="11539" width="4" style="272" hidden="1" customWidth="1"/>
    <col min="11540" max="11559" width="2.453125" style="272" hidden="1" customWidth="1"/>
    <col min="11560" max="11560" width="1.453125" style="272" hidden="1" customWidth="1"/>
    <col min="11561" max="11776" width="2.453125" style="272" hidden="1"/>
    <col min="11777" max="11777" width="1.453125" style="272" hidden="1" customWidth="1"/>
    <col min="11778" max="11778" width="0.81640625" style="272" hidden="1" customWidth="1"/>
    <col min="11779" max="11794" width="2.453125" style="272" hidden="1" customWidth="1"/>
    <col min="11795" max="11795" width="4" style="272" hidden="1" customWidth="1"/>
    <col min="11796" max="11815" width="2.453125" style="272" hidden="1" customWidth="1"/>
    <col min="11816" max="11816" width="1.453125" style="272" hidden="1" customWidth="1"/>
    <col min="11817" max="12032" width="2.453125" style="272" hidden="1"/>
    <col min="12033" max="12033" width="1.453125" style="272" hidden="1" customWidth="1"/>
    <col min="12034" max="12034" width="0.81640625" style="272" hidden="1" customWidth="1"/>
    <col min="12035" max="12050" width="2.453125" style="272" hidden="1" customWidth="1"/>
    <col min="12051" max="12051" width="4" style="272" hidden="1" customWidth="1"/>
    <col min="12052" max="12071" width="2.453125" style="272" hidden="1" customWidth="1"/>
    <col min="12072" max="12072" width="1.453125" style="272" hidden="1" customWidth="1"/>
    <col min="12073" max="12288" width="2.453125" style="272" hidden="1"/>
    <col min="12289" max="12289" width="1.453125" style="272" hidden="1" customWidth="1"/>
    <col min="12290" max="12290" width="0.81640625" style="272" hidden="1" customWidth="1"/>
    <col min="12291" max="12306" width="2.453125" style="272" hidden="1" customWidth="1"/>
    <col min="12307" max="12307" width="4" style="272" hidden="1" customWidth="1"/>
    <col min="12308" max="12327" width="2.453125" style="272" hidden="1" customWidth="1"/>
    <col min="12328" max="12328" width="1.453125" style="272" hidden="1" customWidth="1"/>
    <col min="12329" max="12544" width="2.453125" style="272" hidden="1"/>
    <col min="12545" max="12545" width="1.453125" style="272" hidden="1" customWidth="1"/>
    <col min="12546" max="12546" width="0.81640625" style="272" hidden="1" customWidth="1"/>
    <col min="12547" max="12562" width="2.453125" style="272" hidden="1" customWidth="1"/>
    <col min="12563" max="12563" width="4" style="272" hidden="1" customWidth="1"/>
    <col min="12564" max="12583" width="2.453125" style="272" hidden="1" customWidth="1"/>
    <col min="12584" max="12584" width="1.453125" style="272" hidden="1" customWidth="1"/>
    <col min="12585" max="12800" width="2.453125" style="272" hidden="1"/>
    <col min="12801" max="12801" width="1.453125" style="272" hidden="1" customWidth="1"/>
    <col min="12802" max="12802" width="0.81640625" style="272" hidden="1" customWidth="1"/>
    <col min="12803" max="12818" width="2.453125" style="272" hidden="1" customWidth="1"/>
    <col min="12819" max="12819" width="4" style="272" hidden="1" customWidth="1"/>
    <col min="12820" max="12839" width="2.453125" style="272" hidden="1" customWidth="1"/>
    <col min="12840" max="12840" width="1.453125" style="272" hidden="1" customWidth="1"/>
    <col min="12841" max="13056" width="2.453125" style="272" hidden="1"/>
    <col min="13057" max="13057" width="1.453125" style="272" hidden="1" customWidth="1"/>
    <col min="13058" max="13058" width="0.81640625" style="272" hidden="1" customWidth="1"/>
    <col min="13059" max="13074" width="2.453125" style="272" hidden="1" customWidth="1"/>
    <col min="13075" max="13075" width="4" style="272" hidden="1" customWidth="1"/>
    <col min="13076" max="13095" width="2.453125" style="272" hidden="1" customWidth="1"/>
    <col min="13096" max="13096" width="1.453125" style="272" hidden="1" customWidth="1"/>
    <col min="13097" max="13312" width="2.453125" style="272" hidden="1"/>
    <col min="13313" max="13313" width="1.453125" style="272" hidden="1" customWidth="1"/>
    <col min="13314" max="13314" width="0.81640625" style="272" hidden="1" customWidth="1"/>
    <col min="13315" max="13330" width="2.453125" style="272" hidden="1" customWidth="1"/>
    <col min="13331" max="13331" width="4" style="272" hidden="1" customWidth="1"/>
    <col min="13332" max="13351" width="2.453125" style="272" hidden="1" customWidth="1"/>
    <col min="13352" max="13352" width="1.453125" style="272" hidden="1" customWidth="1"/>
    <col min="13353" max="13568" width="2.453125" style="272" hidden="1"/>
    <col min="13569" max="13569" width="1.453125" style="272" hidden="1" customWidth="1"/>
    <col min="13570" max="13570" width="0.81640625" style="272" hidden="1" customWidth="1"/>
    <col min="13571" max="13586" width="2.453125" style="272" hidden="1" customWidth="1"/>
    <col min="13587" max="13587" width="4" style="272" hidden="1" customWidth="1"/>
    <col min="13588" max="13607" width="2.453125" style="272" hidden="1" customWidth="1"/>
    <col min="13608" max="13608" width="1.453125" style="272" hidden="1" customWidth="1"/>
    <col min="13609" max="13824" width="2.453125" style="272" hidden="1"/>
    <col min="13825" max="13825" width="1.453125" style="272" hidden="1" customWidth="1"/>
    <col min="13826" max="13826" width="0.81640625" style="272" hidden="1" customWidth="1"/>
    <col min="13827" max="13842" width="2.453125" style="272" hidden="1" customWidth="1"/>
    <col min="13843" max="13843" width="4" style="272" hidden="1" customWidth="1"/>
    <col min="13844" max="13863" width="2.453125" style="272" hidden="1" customWidth="1"/>
    <col min="13864" max="13864" width="1.453125" style="272" hidden="1" customWidth="1"/>
    <col min="13865" max="14080" width="2.453125" style="272" hidden="1"/>
    <col min="14081" max="14081" width="1.453125" style="272" hidden="1" customWidth="1"/>
    <col min="14082" max="14082" width="0.81640625" style="272" hidden="1" customWidth="1"/>
    <col min="14083" max="14098" width="2.453125" style="272" hidden="1" customWidth="1"/>
    <col min="14099" max="14099" width="4" style="272" hidden="1" customWidth="1"/>
    <col min="14100" max="14119" width="2.453125" style="272" hidden="1" customWidth="1"/>
    <col min="14120" max="14120" width="1.453125" style="272" hidden="1" customWidth="1"/>
    <col min="14121" max="14336" width="2.453125" style="272" hidden="1"/>
    <col min="14337" max="14337" width="1.453125" style="272" hidden="1" customWidth="1"/>
    <col min="14338" max="14338" width="0.81640625" style="272" hidden="1" customWidth="1"/>
    <col min="14339" max="14354" width="2.453125" style="272" hidden="1" customWidth="1"/>
    <col min="14355" max="14355" width="4" style="272" hidden="1" customWidth="1"/>
    <col min="14356" max="14375" width="2.453125" style="272" hidden="1" customWidth="1"/>
    <col min="14376" max="14376" width="1.453125" style="272" hidden="1" customWidth="1"/>
    <col min="14377" max="14592" width="2.453125" style="272" hidden="1"/>
    <col min="14593" max="14593" width="1.453125" style="272" hidden="1" customWidth="1"/>
    <col min="14594" max="14594" width="0.81640625" style="272" hidden="1" customWidth="1"/>
    <col min="14595" max="14610" width="2.453125" style="272" hidden="1" customWidth="1"/>
    <col min="14611" max="14611" width="4" style="272" hidden="1" customWidth="1"/>
    <col min="14612" max="14631" width="2.453125" style="272" hidden="1" customWidth="1"/>
    <col min="14632" max="14632" width="1.453125" style="272" hidden="1" customWidth="1"/>
    <col min="14633" max="14848" width="2.453125" style="272" hidden="1"/>
    <col min="14849" max="14849" width="1.453125" style="272" hidden="1" customWidth="1"/>
    <col min="14850" max="14850" width="0.81640625" style="272" hidden="1" customWidth="1"/>
    <col min="14851" max="14866" width="2.453125" style="272" hidden="1" customWidth="1"/>
    <col min="14867" max="14867" width="4" style="272" hidden="1" customWidth="1"/>
    <col min="14868" max="14887" width="2.453125" style="272" hidden="1" customWidth="1"/>
    <col min="14888" max="14888" width="1.453125" style="272" hidden="1" customWidth="1"/>
    <col min="14889" max="15104" width="2.453125" style="272" hidden="1"/>
    <col min="15105" max="15105" width="1.453125" style="272" hidden="1" customWidth="1"/>
    <col min="15106" max="15106" width="0.81640625" style="272" hidden="1" customWidth="1"/>
    <col min="15107" max="15122" width="2.453125" style="272" hidden="1" customWidth="1"/>
    <col min="15123" max="15123" width="4" style="272" hidden="1" customWidth="1"/>
    <col min="15124" max="15143" width="2.453125" style="272" hidden="1" customWidth="1"/>
    <col min="15144" max="15144" width="1.453125" style="272" hidden="1" customWidth="1"/>
    <col min="15145" max="15360" width="2.453125" style="272" hidden="1"/>
    <col min="15361" max="15361" width="1.453125" style="272" hidden="1" customWidth="1"/>
    <col min="15362" max="15362" width="0.81640625" style="272" hidden="1" customWidth="1"/>
    <col min="15363" max="15378" width="2.453125" style="272" hidden="1" customWidth="1"/>
    <col min="15379" max="15379" width="4" style="272" hidden="1" customWidth="1"/>
    <col min="15380" max="15399" width="2.453125" style="272" hidden="1" customWidth="1"/>
    <col min="15400" max="15400" width="1.453125" style="272" hidden="1" customWidth="1"/>
    <col min="15401" max="15616" width="2.453125" style="272" hidden="1"/>
    <col min="15617" max="15617" width="1.453125" style="272" hidden="1" customWidth="1"/>
    <col min="15618" max="15618" width="0.81640625" style="272" hidden="1" customWidth="1"/>
    <col min="15619" max="15634" width="2.453125" style="272" hidden="1" customWidth="1"/>
    <col min="15635" max="15635" width="4" style="272" hidden="1" customWidth="1"/>
    <col min="15636" max="15655" width="2.453125" style="272" hidden="1" customWidth="1"/>
    <col min="15656" max="15656" width="1.453125" style="272" hidden="1" customWidth="1"/>
    <col min="15657" max="15872" width="2.453125" style="272" hidden="1"/>
    <col min="15873" max="15873" width="1.453125" style="272" hidden="1" customWidth="1"/>
    <col min="15874" max="15874" width="0.81640625" style="272" hidden="1" customWidth="1"/>
    <col min="15875" max="15890" width="2.453125" style="272" hidden="1" customWidth="1"/>
    <col min="15891" max="15891" width="4" style="272" hidden="1" customWidth="1"/>
    <col min="15892" max="15911" width="2.453125" style="272" hidden="1" customWidth="1"/>
    <col min="15912" max="15912" width="1.453125" style="272" hidden="1" customWidth="1"/>
    <col min="15913" max="16128" width="2.453125" style="272" hidden="1"/>
    <col min="16129" max="16129" width="1.453125" style="272" hidden="1" customWidth="1"/>
    <col min="16130" max="16130" width="0.81640625" style="272" hidden="1" customWidth="1"/>
    <col min="16131" max="16146" width="2.453125" style="272" hidden="1" customWidth="1"/>
    <col min="16147" max="16147" width="4" style="272" hidden="1" customWidth="1"/>
    <col min="16148" max="16167" width="2.453125" style="272" hidden="1" customWidth="1"/>
    <col min="16168" max="16168" width="1.453125" style="272" hidden="1" customWidth="1"/>
    <col min="16169" max="16384" width="2.453125" style="272" hidden="1"/>
  </cols>
  <sheetData>
    <row r="1" spans="1:40" ht="13" customHeight="1">
      <c r="A1" s="2289" t="s">
        <v>2088</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 customHeight="1"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 customHeight="1">
      <c r="A4" s="274"/>
    </row>
    <row r="5" spans="1:40" ht="13" customHeight="1">
      <c r="A5" s="274" t="s">
        <v>872</v>
      </c>
      <c r="C5" s="274" t="s">
        <v>270</v>
      </c>
      <c r="F5" s="274"/>
    </row>
    <row r="6" spans="1:40" ht="13" customHeight="1">
      <c r="A6" s="274"/>
      <c r="C6" s="272" t="s">
        <v>2089</v>
      </c>
    </row>
    <row r="7" spans="1:40" ht="13" customHeight="1">
      <c r="B7" s="275"/>
      <c r="C7" s="276"/>
      <c r="D7" s="276"/>
      <c r="E7" s="276"/>
      <c r="F7" s="276"/>
      <c r="G7" s="276"/>
      <c r="H7" s="276"/>
      <c r="I7" s="276"/>
      <c r="J7" s="276"/>
      <c r="K7" s="276"/>
      <c r="L7" s="276"/>
      <c r="M7" s="276"/>
      <c r="N7" s="276"/>
      <c r="O7" s="276"/>
      <c r="P7" s="276"/>
      <c r="Q7" s="276"/>
      <c r="R7" s="276"/>
      <c r="S7" s="276"/>
      <c r="T7" s="2291" t="str">
        <f xml:space="preserve"> IF(T25=100%,'Sources and Basis Breakdown'!G2,'Sources and Basis Breakdown'!F2)</f>
        <v>30% PVC for New Const/
Rehabilitation
NON-DDA/
NON-QCT Building(s)</v>
      </c>
      <c r="U7" s="2291"/>
      <c r="V7" s="2291"/>
      <c r="W7" s="2291"/>
      <c r="X7" s="2291"/>
      <c r="Y7" s="2291" t="str">
        <f>IF(T25=100%,"",'Sources and Basis Breakdown'!G2)</f>
        <v/>
      </c>
      <c r="Z7" s="2291"/>
      <c r="AA7" s="2291"/>
      <c r="AB7" s="2291"/>
      <c r="AC7" s="2291"/>
      <c r="AD7" s="2291" t="str">
        <f xml:space="preserve"> IF(T25=100%, 'Sources and Basis Breakdown'!J2,'Sources and Basis Breakdown'!I2)</f>
        <v>30% PVC for Acquisition
NON-DDA/
NON-QCT Building(s)</v>
      </c>
      <c r="AE7" s="2291"/>
      <c r="AF7" s="2291"/>
      <c r="AG7" s="2291"/>
      <c r="AH7" s="2291"/>
      <c r="AI7" s="2291" t="str">
        <f>IF(T25=100%,"",'Sources and Basis Breakdown'!J2)</f>
        <v/>
      </c>
      <c r="AJ7" s="2291"/>
      <c r="AK7" s="2291"/>
      <c r="AL7" s="2291"/>
      <c r="AM7" s="2291"/>
    </row>
    <row r="8" spans="1:40" ht="13" customHeight="1">
      <c r="B8" s="277"/>
      <c r="T8" s="2291"/>
      <c r="U8" s="2291"/>
      <c r="V8" s="2291"/>
      <c r="W8" s="2291"/>
      <c r="X8" s="2291"/>
      <c r="Y8" s="2291"/>
      <c r="Z8" s="2291"/>
      <c r="AA8" s="2291"/>
      <c r="AB8" s="2291"/>
      <c r="AC8" s="2291"/>
      <c r="AD8" s="2291"/>
      <c r="AE8" s="2291"/>
      <c r="AF8" s="2291"/>
      <c r="AG8" s="2291"/>
      <c r="AH8" s="2291"/>
      <c r="AI8" s="2291"/>
      <c r="AJ8" s="2291"/>
      <c r="AK8" s="2291"/>
      <c r="AL8" s="2291"/>
      <c r="AM8" s="2291"/>
    </row>
    <row r="9" spans="1:40" ht="13" customHeight="1">
      <c r="B9" s="277"/>
      <c r="T9" s="2291"/>
      <c r="U9" s="2291"/>
      <c r="V9" s="2291"/>
      <c r="W9" s="2291"/>
      <c r="X9" s="2291"/>
      <c r="Y9" s="2291"/>
      <c r="Z9" s="2291"/>
      <c r="AA9" s="2291"/>
      <c r="AB9" s="2291"/>
      <c r="AC9" s="2291"/>
      <c r="AD9" s="2291"/>
      <c r="AE9" s="2291"/>
      <c r="AF9" s="2291"/>
      <c r="AG9" s="2291"/>
      <c r="AH9" s="2291"/>
      <c r="AI9" s="2291"/>
      <c r="AJ9" s="2291"/>
      <c r="AK9" s="2291"/>
      <c r="AL9" s="2291"/>
      <c r="AM9" s="2291"/>
    </row>
    <row r="10" spans="1:40" ht="13" customHeight="1">
      <c r="B10" s="278"/>
      <c r="C10" s="279"/>
      <c r="D10" s="279"/>
      <c r="E10" s="279"/>
      <c r="F10" s="279"/>
      <c r="G10" s="279"/>
      <c r="H10" s="279"/>
      <c r="I10" s="279"/>
      <c r="J10" s="279"/>
      <c r="K10" s="279"/>
      <c r="L10" s="279"/>
      <c r="M10" s="279"/>
      <c r="N10" s="279"/>
      <c r="O10" s="279"/>
      <c r="P10" s="279"/>
      <c r="Q10" s="279"/>
      <c r="R10" s="279"/>
      <c r="S10" s="279"/>
      <c r="T10" s="2291"/>
      <c r="U10" s="2291"/>
      <c r="V10" s="2291"/>
      <c r="W10" s="2291"/>
      <c r="X10" s="2291"/>
      <c r="Y10" s="2291"/>
      <c r="Z10" s="2291"/>
      <c r="AA10" s="2291"/>
      <c r="AB10" s="2291"/>
      <c r="AC10" s="2291"/>
      <c r="AD10" s="2291"/>
      <c r="AE10" s="2291"/>
      <c r="AF10" s="2291"/>
      <c r="AG10" s="2291"/>
      <c r="AH10" s="2291"/>
      <c r="AI10" s="2291"/>
      <c r="AJ10" s="2291"/>
      <c r="AK10" s="2291"/>
      <c r="AL10" s="2291"/>
      <c r="AM10" s="2291"/>
    </row>
    <row r="11" spans="1:40" ht="13" customHeight="1">
      <c r="B11" s="2270" t="s">
        <v>1906</v>
      </c>
      <c r="C11" s="2271"/>
      <c r="D11" s="2271"/>
      <c r="E11" s="2271"/>
      <c r="F11" s="2271"/>
      <c r="G11" s="2271"/>
      <c r="H11" s="2271"/>
      <c r="I11" s="2271"/>
      <c r="J11" s="2271"/>
      <c r="K11" s="2271"/>
      <c r="L11" s="2271"/>
      <c r="M11" s="2271"/>
      <c r="N11" s="2271"/>
      <c r="O11" s="2271"/>
      <c r="P11" s="2271"/>
      <c r="Q11" s="2271"/>
      <c r="R11" s="2271"/>
      <c r="S11" s="2272"/>
      <c r="T11" s="2292">
        <f>IF('Sources and Basis Breakdown'!F107=0,'Sources and Basis Breakdown'!E107,'Sources and Basis Breakdown'!F107)</f>
        <v>36140820</v>
      </c>
      <c r="U11" s="2293"/>
      <c r="V11" s="2293"/>
      <c r="W11" s="2293"/>
      <c r="X11" s="2293"/>
      <c r="Y11" s="2292">
        <f>IF(Y7="",0,IF('Sources and Basis Breakdown'!G107+'Sources and Basis Breakdown'!F107='Sources and Basis Breakdown'!E107,'Sources and Basis Breakdown'!G107,0))</f>
        <v>0</v>
      </c>
      <c r="Z11" s="2293"/>
      <c r="AA11" s="2293"/>
      <c r="AB11" s="2293"/>
      <c r="AC11" s="2293"/>
      <c r="AD11" s="2293">
        <f>IF('Sources and Basis Breakdown'!I107=0,'Sources and Basis Breakdown'!H107,'Sources and Basis Breakdown'!I107)</f>
        <v>0</v>
      </c>
      <c r="AE11" s="2293"/>
      <c r="AF11" s="2293"/>
      <c r="AG11" s="2293"/>
      <c r="AH11" s="2293"/>
      <c r="AI11" s="2293">
        <f>IF(Y7="",0,IF('Sources and Basis Breakdown'!I107+'Sources and Basis Breakdown'!J107='Sources and Basis Breakdown'!H107,'Sources and Basis Breakdown'!J107,0))</f>
        <v>0</v>
      </c>
      <c r="AJ11" s="2293"/>
      <c r="AK11" s="2293"/>
      <c r="AL11" s="2293"/>
      <c r="AM11" s="2293"/>
    </row>
    <row r="12" spans="1:40" ht="13" customHeight="1">
      <c r="B12" s="2285" t="s">
        <v>2090</v>
      </c>
      <c r="C12" s="1243"/>
      <c r="D12" s="1243"/>
      <c r="E12" s="1243"/>
      <c r="F12" s="1243"/>
      <c r="G12" s="1243"/>
      <c r="H12" s="1243"/>
      <c r="I12" s="1243"/>
      <c r="J12" s="1243"/>
      <c r="K12" s="1243"/>
      <c r="L12" s="1243"/>
      <c r="M12" s="1243"/>
      <c r="N12" s="1243"/>
      <c r="O12" s="1243"/>
      <c r="P12" s="1243"/>
      <c r="Q12" s="1243"/>
      <c r="R12" s="1243"/>
      <c r="S12" s="2286"/>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3" customHeight="1">
      <c r="B13" s="303"/>
      <c r="C13" s="2287" t="s">
        <v>2091</v>
      </c>
      <c r="D13" s="2287"/>
      <c r="E13" s="2287"/>
      <c r="F13" s="2287"/>
      <c r="G13" s="2287"/>
      <c r="H13" s="2287"/>
      <c r="I13" s="2287"/>
      <c r="J13" s="2287"/>
      <c r="K13" s="2287"/>
      <c r="L13" s="2287"/>
      <c r="M13" s="2287"/>
      <c r="N13" s="2287"/>
      <c r="O13" s="2287"/>
      <c r="P13" s="2287"/>
      <c r="Q13" s="2287"/>
      <c r="R13" s="2287"/>
      <c r="S13" s="2288"/>
      <c r="T13" s="2294"/>
      <c r="U13" s="2295"/>
      <c r="V13" s="2295"/>
      <c r="W13" s="2295"/>
      <c r="X13" s="2295"/>
      <c r="Y13" s="2294"/>
      <c r="Z13" s="2295"/>
      <c r="AA13" s="2295"/>
      <c r="AB13" s="2295"/>
      <c r="AC13" s="2295"/>
      <c r="AD13" s="2295"/>
      <c r="AE13" s="2295"/>
      <c r="AF13" s="2295"/>
      <c r="AG13" s="2295"/>
      <c r="AH13" s="2295"/>
      <c r="AI13" s="2295"/>
      <c r="AJ13" s="2295"/>
      <c r="AK13" s="2295"/>
      <c r="AL13" s="2295"/>
      <c r="AM13" s="2295"/>
    </row>
    <row r="14" spans="1:40" ht="13" customHeight="1">
      <c r="B14" s="303"/>
      <c r="C14" s="2287" t="s">
        <v>2092</v>
      </c>
      <c r="D14" s="2287"/>
      <c r="E14" s="2287"/>
      <c r="F14" s="2287"/>
      <c r="G14" s="2287"/>
      <c r="H14" s="2287"/>
      <c r="I14" s="2287"/>
      <c r="J14" s="2287"/>
      <c r="K14" s="2287"/>
      <c r="L14" s="2287"/>
      <c r="M14" s="2287"/>
      <c r="N14" s="2287"/>
      <c r="O14" s="2287"/>
      <c r="P14" s="2287"/>
      <c r="Q14" s="2287"/>
      <c r="R14" s="2287"/>
      <c r="S14" s="2288"/>
      <c r="T14" s="2261"/>
      <c r="U14" s="2262"/>
      <c r="V14" s="2262"/>
      <c r="W14" s="2262"/>
      <c r="X14" s="2262"/>
      <c r="Y14" s="2261"/>
      <c r="Z14" s="2262"/>
      <c r="AA14" s="2262"/>
      <c r="AB14" s="2262"/>
      <c r="AC14" s="2262"/>
      <c r="AD14" s="2262"/>
      <c r="AE14" s="2262"/>
      <c r="AF14" s="2262"/>
      <c r="AG14" s="2262"/>
      <c r="AH14" s="2262"/>
      <c r="AI14" s="2262"/>
      <c r="AJ14" s="2262"/>
      <c r="AK14" s="2262"/>
      <c r="AL14" s="2262"/>
      <c r="AM14" s="2262"/>
    </row>
    <row r="15" spans="1:40" ht="13" customHeight="1">
      <c r="B15" s="303"/>
      <c r="C15" s="2287" t="s">
        <v>2093</v>
      </c>
      <c r="D15" s="2287"/>
      <c r="E15" s="2287"/>
      <c r="F15" s="2287"/>
      <c r="G15" s="2287"/>
      <c r="H15" s="2287"/>
      <c r="I15" s="2287"/>
      <c r="J15" s="2287"/>
      <c r="K15" s="2287"/>
      <c r="L15" s="2287"/>
      <c r="M15" s="2287"/>
      <c r="N15" s="2287"/>
      <c r="O15" s="2287"/>
      <c r="P15" s="2287"/>
      <c r="Q15" s="2287"/>
      <c r="R15" s="2287"/>
      <c r="S15" s="2288"/>
      <c r="T15" s="2261"/>
      <c r="U15" s="2262"/>
      <c r="V15" s="2262"/>
      <c r="W15" s="2262"/>
      <c r="X15" s="2262"/>
      <c r="Y15" s="2261"/>
      <c r="Z15" s="2262"/>
      <c r="AA15" s="2262"/>
      <c r="AB15" s="2262"/>
      <c r="AC15" s="2262"/>
      <c r="AD15" s="2262"/>
      <c r="AE15" s="2262"/>
      <c r="AF15" s="2262"/>
      <c r="AG15" s="2262"/>
      <c r="AH15" s="2262"/>
      <c r="AI15" s="2262"/>
      <c r="AJ15" s="2262"/>
      <c r="AK15" s="2262"/>
      <c r="AL15" s="2262"/>
      <c r="AM15" s="2262"/>
    </row>
    <row r="16" spans="1:40" ht="13" customHeight="1">
      <c r="B16" s="303"/>
      <c r="C16" s="2287" t="s">
        <v>2094</v>
      </c>
      <c r="D16" s="2287"/>
      <c r="E16" s="2287"/>
      <c r="F16" s="2287"/>
      <c r="G16" s="2287"/>
      <c r="H16" s="2287"/>
      <c r="I16" s="2287"/>
      <c r="J16" s="2287"/>
      <c r="K16" s="2287"/>
      <c r="L16" s="2287"/>
      <c r="M16" s="2287"/>
      <c r="N16" s="2287"/>
      <c r="O16" s="2287"/>
      <c r="P16" s="2287"/>
      <c r="Q16" s="2287"/>
      <c r="R16" s="2287"/>
      <c r="S16" s="2288"/>
      <c r="T16" s="2261"/>
      <c r="U16" s="2262"/>
      <c r="V16" s="2262"/>
      <c r="W16" s="2262"/>
      <c r="X16" s="2262"/>
      <c r="Y16" s="2261"/>
      <c r="Z16" s="2262"/>
      <c r="AA16" s="2262"/>
      <c r="AB16" s="2262"/>
      <c r="AC16" s="2262"/>
      <c r="AD16" s="2262"/>
      <c r="AE16" s="2262"/>
      <c r="AF16" s="2262"/>
      <c r="AG16" s="2262"/>
      <c r="AH16" s="2262"/>
      <c r="AI16" s="2262"/>
      <c r="AJ16" s="2262"/>
      <c r="AK16" s="2262"/>
      <c r="AL16" s="2262"/>
      <c r="AM16" s="2262"/>
    </row>
    <row r="17" spans="1:40" ht="13" customHeight="1">
      <c r="B17" s="303"/>
      <c r="C17" s="2287" t="s">
        <v>2095</v>
      </c>
      <c r="D17" s="2287"/>
      <c r="E17" s="2287"/>
      <c r="F17" s="2287"/>
      <c r="G17" s="2287"/>
      <c r="H17" s="2287"/>
      <c r="I17" s="2287"/>
      <c r="J17" s="2287"/>
      <c r="K17" s="2287"/>
      <c r="L17" s="2287"/>
      <c r="M17" s="2287"/>
      <c r="N17" s="2287"/>
      <c r="O17" s="2287"/>
      <c r="P17" s="2287"/>
      <c r="Q17" s="2287"/>
      <c r="R17" s="2287"/>
      <c r="S17" s="2288"/>
      <c r="T17" s="2261"/>
      <c r="U17" s="2262"/>
      <c r="V17" s="2262"/>
      <c r="W17" s="2262"/>
      <c r="X17" s="2262"/>
      <c r="Y17" s="2261"/>
      <c r="Z17" s="2262"/>
      <c r="AA17" s="2262"/>
      <c r="AB17" s="2262"/>
      <c r="AC17" s="2262"/>
      <c r="AD17" s="2262"/>
      <c r="AE17" s="2262"/>
      <c r="AF17" s="2262"/>
      <c r="AG17" s="2262"/>
      <c r="AH17" s="2262"/>
      <c r="AI17" s="2262"/>
      <c r="AJ17" s="2262"/>
      <c r="AK17" s="2262"/>
      <c r="AL17" s="2262"/>
      <c r="AM17" s="2262"/>
    </row>
    <row r="18" spans="1:40" ht="13" customHeight="1">
      <c r="A18"/>
      <c r="B18" s="930"/>
      <c r="C18" s="1742" t="s">
        <v>2096</v>
      </c>
      <c r="D18" s="1742"/>
      <c r="E18" s="1742"/>
      <c r="F18" s="1742"/>
      <c r="G18" s="1742"/>
      <c r="H18" s="1742"/>
      <c r="I18" s="1742"/>
      <c r="J18" s="1742"/>
      <c r="K18" s="1742"/>
      <c r="L18" s="1742"/>
      <c r="M18" s="1742"/>
      <c r="N18" s="1742"/>
      <c r="O18" s="1742"/>
      <c r="P18" s="1742"/>
      <c r="Q18" s="1742"/>
      <c r="R18" s="1742"/>
      <c r="S18" s="1743"/>
      <c r="T18" s="2261"/>
      <c r="U18" s="2262"/>
      <c r="V18" s="2262"/>
      <c r="W18" s="2262"/>
      <c r="X18" s="2262"/>
      <c r="Y18" s="2261"/>
      <c r="Z18" s="2262"/>
      <c r="AA18" s="2262"/>
      <c r="AB18" s="2262"/>
      <c r="AC18" s="2262"/>
      <c r="AD18" s="2262"/>
      <c r="AE18" s="2262"/>
      <c r="AF18" s="2262"/>
      <c r="AG18" s="2262"/>
      <c r="AH18" s="2262"/>
      <c r="AI18" s="2262"/>
      <c r="AJ18" s="2262"/>
      <c r="AK18" s="2262"/>
      <c r="AL18" s="2262"/>
      <c r="AM18" s="2262"/>
    </row>
    <row r="19" spans="1:40" ht="13" customHeight="1">
      <c r="B19" s="930"/>
      <c r="C19" s="1742" t="s">
        <v>2096</v>
      </c>
      <c r="D19" s="1742"/>
      <c r="E19" s="1742"/>
      <c r="F19" s="1742"/>
      <c r="G19" s="1742"/>
      <c r="H19" s="1742"/>
      <c r="I19" s="1742"/>
      <c r="J19" s="1742"/>
      <c r="K19" s="1742"/>
      <c r="L19" s="1742"/>
      <c r="M19" s="1742"/>
      <c r="N19" s="1742"/>
      <c r="O19" s="1742"/>
      <c r="P19" s="1742"/>
      <c r="Q19" s="1742"/>
      <c r="R19" s="1742"/>
      <c r="S19" s="1743"/>
      <c r="T19" s="2261"/>
      <c r="U19" s="2262"/>
      <c r="V19" s="2262"/>
      <c r="W19" s="2262"/>
      <c r="X19" s="2262"/>
      <c r="Y19" s="2261"/>
      <c r="Z19" s="2262"/>
      <c r="AA19" s="2262"/>
      <c r="AB19" s="2262"/>
      <c r="AC19" s="2262"/>
      <c r="AD19" s="2262"/>
      <c r="AE19" s="2262"/>
      <c r="AF19" s="2262"/>
      <c r="AG19" s="2262"/>
      <c r="AH19" s="2262"/>
      <c r="AI19" s="2262"/>
      <c r="AJ19" s="2262"/>
      <c r="AK19" s="2262"/>
      <c r="AL19" s="2262"/>
      <c r="AM19" s="2262"/>
    </row>
    <row r="20" spans="1:40" ht="13" customHeight="1">
      <c r="B20" s="2270" t="s">
        <v>2097</v>
      </c>
      <c r="C20" s="2271"/>
      <c r="D20" s="2271"/>
      <c r="E20" s="2271"/>
      <c r="F20" s="2271"/>
      <c r="G20" s="2271"/>
      <c r="H20" s="2271"/>
      <c r="I20" s="2271"/>
      <c r="J20" s="2271"/>
      <c r="K20" s="2271"/>
      <c r="L20" s="2271"/>
      <c r="M20" s="2271"/>
      <c r="N20" s="2271"/>
      <c r="O20" s="2271"/>
      <c r="P20" s="2271"/>
      <c r="Q20" s="2271"/>
      <c r="R20" s="2271"/>
      <c r="S20" s="2272"/>
      <c r="T20" s="2263">
        <f>SUM(T13:X19)</f>
        <v>0</v>
      </c>
      <c r="U20" s="2264"/>
      <c r="V20" s="2264"/>
      <c r="W20" s="2264"/>
      <c r="X20" s="2264"/>
      <c r="Y20" s="2263">
        <f>SUM(Y13:AC19)</f>
        <v>0</v>
      </c>
      <c r="Z20" s="2264"/>
      <c r="AA20" s="2264"/>
      <c r="AB20" s="2264"/>
      <c r="AC20" s="2264"/>
      <c r="AD20" s="2265">
        <f>SUM(AD13:AH19)</f>
        <v>0</v>
      </c>
      <c r="AE20" s="2266"/>
      <c r="AF20" s="2266"/>
      <c r="AG20" s="2266"/>
      <c r="AH20" s="2263"/>
      <c r="AI20" s="2265">
        <f>SUM(AI13:AM19)</f>
        <v>0</v>
      </c>
      <c r="AJ20" s="2266"/>
      <c r="AK20" s="2266"/>
      <c r="AL20" s="2266"/>
      <c r="AM20" s="2263"/>
    </row>
    <row r="21" spans="1:40" ht="13" customHeight="1">
      <c r="B21" s="2270" t="s">
        <v>2098</v>
      </c>
      <c r="C21" s="2271"/>
      <c r="D21" s="2271"/>
      <c r="E21" s="2271"/>
      <c r="F21" s="2271"/>
      <c r="G21" s="2271"/>
      <c r="H21" s="2271"/>
      <c r="I21" s="2271"/>
      <c r="J21" s="2271"/>
      <c r="K21" s="2271"/>
      <c r="L21" s="2271"/>
      <c r="M21" s="2271"/>
      <c r="N21" s="2271"/>
      <c r="O21" s="2271"/>
      <c r="P21" s="2271"/>
      <c r="Q21" s="2271"/>
      <c r="R21" s="2271"/>
      <c r="S21" s="2272"/>
      <c r="T21" s="2261"/>
      <c r="U21" s="2262"/>
      <c r="V21" s="2262"/>
      <c r="W21" s="2262"/>
      <c r="X21" s="2262"/>
      <c r="Y21" s="2261"/>
      <c r="Z21" s="2262"/>
      <c r="AA21" s="2262"/>
      <c r="AB21" s="2262"/>
      <c r="AC21" s="2262"/>
      <c r="AD21" s="2258"/>
      <c r="AE21" s="2259"/>
      <c r="AF21" s="2259"/>
      <c r="AG21" s="2259"/>
      <c r="AH21" s="2260"/>
      <c r="AI21" s="2258"/>
      <c r="AJ21" s="2259"/>
      <c r="AK21" s="2259"/>
      <c r="AL21" s="2259"/>
      <c r="AM21" s="2260"/>
    </row>
    <row r="22" spans="1:40" ht="13" customHeight="1">
      <c r="B22" s="2270" t="s">
        <v>2099</v>
      </c>
      <c r="C22" s="2271"/>
      <c r="D22" s="2271"/>
      <c r="E22" s="2271"/>
      <c r="F22" s="2271"/>
      <c r="G22" s="2271"/>
      <c r="H22" s="2271"/>
      <c r="I22" s="2271"/>
      <c r="J22" s="2271"/>
      <c r="K22" s="2271"/>
      <c r="L22" s="2271"/>
      <c r="M22" s="2271"/>
      <c r="N22" s="2271"/>
      <c r="O22" s="2271"/>
      <c r="P22" s="2271"/>
      <c r="Q22" s="2271"/>
      <c r="R22" s="2271"/>
      <c r="S22" s="2272"/>
      <c r="T22" s="2296">
        <f>(ABS(T20)+ABS(T21))*-1</f>
        <v>0</v>
      </c>
      <c r="U22" s="2297"/>
      <c r="V22" s="2297"/>
      <c r="W22" s="2297"/>
      <c r="X22" s="2297"/>
      <c r="Y22" s="2296">
        <f>(Y20+Y21)*-1</f>
        <v>0</v>
      </c>
      <c r="Z22" s="2297"/>
      <c r="AA22" s="2297"/>
      <c r="AB22" s="2297"/>
      <c r="AC22" s="2297"/>
      <c r="AD22" s="2298">
        <f>(AD20)*-1</f>
        <v>0</v>
      </c>
      <c r="AE22" s="2299"/>
      <c r="AF22" s="2299"/>
      <c r="AG22" s="2299"/>
      <c r="AH22" s="2296"/>
      <c r="AI22" s="2298">
        <f>(AI20)*-1</f>
        <v>0</v>
      </c>
      <c r="AJ22" s="2299"/>
      <c r="AK22" s="2299"/>
      <c r="AL22" s="2299"/>
      <c r="AM22" s="2296"/>
    </row>
    <row r="23" spans="1:40" ht="13" customHeight="1">
      <c r="B23" s="2270" t="s">
        <v>2100</v>
      </c>
      <c r="C23" s="2271"/>
      <c r="D23" s="2271"/>
      <c r="E23" s="2271"/>
      <c r="F23" s="2271"/>
      <c r="G23" s="2271"/>
      <c r="H23" s="2271"/>
      <c r="I23" s="2271"/>
      <c r="J23" s="2271"/>
      <c r="K23" s="2271"/>
      <c r="L23" s="2271"/>
      <c r="M23" s="2271"/>
      <c r="N23" s="2271"/>
      <c r="O23" s="2271"/>
      <c r="P23" s="2271"/>
      <c r="Q23" s="2271"/>
      <c r="R23" s="2271"/>
      <c r="S23" s="2272"/>
      <c r="T23" s="2263">
        <f>T11+T22</f>
        <v>36140820</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40" ht="13" customHeight="1">
      <c r="B24" s="2270" t="s">
        <v>2101</v>
      </c>
      <c r="C24" s="2271"/>
      <c r="D24" s="2271"/>
      <c r="E24" s="2271"/>
      <c r="F24" s="2271"/>
      <c r="G24" s="2271"/>
      <c r="H24" s="2271"/>
      <c r="I24" s="2271"/>
      <c r="J24" s="2271"/>
      <c r="K24" s="2271"/>
      <c r="L24" s="2271"/>
      <c r="M24" s="2271"/>
      <c r="N24" s="2271"/>
      <c r="O24" s="2271"/>
      <c r="P24" s="2271"/>
      <c r="Q24" s="2271"/>
      <c r="R24" s="2271"/>
      <c r="S24" s="2272"/>
      <c r="T24" s="2265">
        <f>Application!AJ1053</f>
        <v>68788535.799999997</v>
      </c>
      <c r="U24" s="2266"/>
      <c r="V24" s="2266"/>
      <c r="W24" s="2266"/>
      <c r="X24" s="2266"/>
      <c r="Y24" s="2266"/>
      <c r="Z24" s="2266"/>
      <c r="AA24" s="2266"/>
      <c r="AB24" s="2266"/>
      <c r="AC24" s="2266"/>
      <c r="AD24" s="2266"/>
      <c r="AE24" s="2266"/>
      <c r="AF24" s="2266"/>
      <c r="AG24" s="2266"/>
      <c r="AH24" s="2266"/>
      <c r="AI24" s="2266"/>
      <c r="AJ24" s="2266"/>
      <c r="AK24" s="2266"/>
      <c r="AL24" s="2266"/>
      <c r="AM24" s="2263"/>
    </row>
    <row r="25" spans="1:40" ht="13" customHeight="1">
      <c r="B25" s="2274" t="s">
        <v>2102</v>
      </c>
      <c r="C25" s="2275"/>
      <c r="D25" s="2275"/>
      <c r="E25" s="2275"/>
      <c r="F25" s="2275"/>
      <c r="G25" s="2275"/>
      <c r="H25" s="2275"/>
      <c r="I25" s="2275"/>
      <c r="J25" s="2275"/>
      <c r="K25" s="2275"/>
      <c r="L25" s="2275"/>
      <c r="M25" s="2275"/>
      <c r="N25" s="2275"/>
      <c r="O25" s="2275"/>
      <c r="P25" s="2275"/>
      <c r="Q25" s="2275"/>
      <c r="R25" s="2275"/>
      <c r="S25" s="2276"/>
      <c r="T25" s="2300">
        <f>IF(OR(Application!T196="yes",Application!T195="yes"),1.3,1)</f>
        <v>1</v>
      </c>
      <c r="U25" s="2301"/>
      <c r="V25" s="2301"/>
      <c r="W25" s="2301"/>
      <c r="X25" s="2301"/>
      <c r="Y25" s="2300">
        <v>1</v>
      </c>
      <c r="Z25" s="2301"/>
      <c r="AA25" s="2301"/>
      <c r="AB25" s="2301"/>
      <c r="AC25" s="2301"/>
      <c r="AD25" s="2300">
        <v>1</v>
      </c>
      <c r="AE25" s="2301"/>
      <c r="AF25" s="2301"/>
      <c r="AG25" s="2301"/>
      <c r="AH25" s="2302"/>
      <c r="AI25" s="2300">
        <v>1</v>
      </c>
      <c r="AJ25" s="2301"/>
      <c r="AK25" s="2301"/>
      <c r="AL25" s="2301"/>
      <c r="AM25" s="2302"/>
    </row>
    <row r="26" spans="1:40" ht="13" customHeight="1">
      <c r="B26" s="2270" t="s">
        <v>2103</v>
      </c>
      <c r="C26" s="2271"/>
      <c r="D26" s="2271"/>
      <c r="E26" s="2271"/>
      <c r="F26" s="2271"/>
      <c r="G26" s="2271"/>
      <c r="H26" s="2271"/>
      <c r="I26" s="2271"/>
      <c r="J26" s="2271"/>
      <c r="K26" s="2271"/>
      <c r="L26" s="2271"/>
      <c r="M26" s="2271"/>
      <c r="N26" s="2271"/>
      <c r="O26" s="2271"/>
      <c r="P26" s="2271"/>
      <c r="Q26" s="2271"/>
      <c r="R26" s="2271"/>
      <c r="S26" s="2272"/>
      <c r="T26" s="2263">
        <f>T23*T25</f>
        <v>36140820</v>
      </c>
      <c r="U26" s="2264"/>
      <c r="V26" s="2264"/>
      <c r="W26" s="2264"/>
      <c r="X26" s="2264"/>
      <c r="Y26" s="2263">
        <f>Y23*Y25</f>
        <v>0</v>
      </c>
      <c r="Z26" s="2264"/>
      <c r="AA26" s="2264"/>
      <c r="AB26" s="2264"/>
      <c r="AC26" s="2264"/>
      <c r="AD26" s="2263">
        <f>AD23*AD25</f>
        <v>0</v>
      </c>
      <c r="AE26" s="2264"/>
      <c r="AF26" s="2264"/>
      <c r="AG26" s="2264"/>
      <c r="AH26" s="2264"/>
      <c r="AI26" s="2263">
        <f>AI23*AI25</f>
        <v>0</v>
      </c>
      <c r="AJ26" s="2264"/>
      <c r="AK26" s="2264"/>
      <c r="AL26" s="2264"/>
      <c r="AM26" s="2264"/>
    </row>
    <row r="27" spans="1:40" ht="13" customHeight="1">
      <c r="A27" s="280"/>
      <c r="B27" s="2277" t="s">
        <v>2104</v>
      </c>
      <c r="C27" s="2278"/>
      <c r="D27" s="2278"/>
      <c r="E27" s="2278"/>
      <c r="F27" s="2278"/>
      <c r="G27" s="2278"/>
      <c r="H27" s="2278"/>
      <c r="I27" s="2278"/>
      <c r="J27" s="2278"/>
      <c r="K27" s="2278"/>
      <c r="L27" s="2278"/>
      <c r="M27" s="2278"/>
      <c r="N27" s="2278"/>
      <c r="O27" s="2278"/>
      <c r="P27" s="2278"/>
      <c r="Q27" s="2278"/>
      <c r="R27" s="2278"/>
      <c r="S27" s="2279"/>
      <c r="T27" s="2283">
        <f>Application!$AG$445</f>
        <v>1</v>
      </c>
      <c r="U27" s="2284"/>
      <c r="V27" s="2284"/>
      <c r="W27" s="2284"/>
      <c r="X27" s="2284"/>
      <c r="Y27" s="2283">
        <f>Application!$AG$445</f>
        <v>1</v>
      </c>
      <c r="Z27" s="2284"/>
      <c r="AA27" s="2284"/>
      <c r="AB27" s="2284"/>
      <c r="AC27" s="2284"/>
      <c r="AD27" s="2283">
        <f>Application!$AG$445</f>
        <v>1</v>
      </c>
      <c r="AE27" s="2284"/>
      <c r="AF27" s="2284"/>
      <c r="AG27" s="2284"/>
      <c r="AH27" s="2284"/>
      <c r="AI27" s="2283">
        <f>Application!$AG$445</f>
        <v>1</v>
      </c>
      <c r="AJ27" s="2284"/>
      <c r="AK27" s="2284"/>
      <c r="AL27" s="2284"/>
      <c r="AM27" s="2284"/>
    </row>
    <row r="28" spans="1:40" ht="13" customHeight="1">
      <c r="A28" s="274"/>
      <c r="B28" s="2270" t="s">
        <v>2105</v>
      </c>
      <c r="C28" s="2271"/>
      <c r="D28" s="2271"/>
      <c r="E28" s="2271"/>
      <c r="F28" s="2271"/>
      <c r="G28" s="2271"/>
      <c r="H28" s="2271"/>
      <c r="I28" s="2271"/>
      <c r="J28" s="2271"/>
      <c r="K28" s="2271"/>
      <c r="L28" s="2271"/>
      <c r="M28" s="2271"/>
      <c r="N28" s="2271"/>
      <c r="O28" s="2271"/>
      <c r="P28" s="2271"/>
      <c r="Q28" s="2271"/>
      <c r="R28" s="2271"/>
      <c r="S28" s="2272"/>
      <c r="T28" s="2263">
        <f>IF(ISERROR((T26*T27)),0,(T26*T27))</f>
        <v>36140820</v>
      </c>
      <c r="U28" s="2264"/>
      <c r="V28" s="2264"/>
      <c r="W28" s="2264"/>
      <c r="X28" s="2264"/>
      <c r="Y28" s="2263">
        <f>IF(ISERROR((Y26*Y27)),0,(Y26*Y27))</f>
        <v>0</v>
      </c>
      <c r="Z28" s="2264"/>
      <c r="AA28" s="2264"/>
      <c r="AB28" s="2264"/>
      <c r="AC28" s="2264"/>
      <c r="AD28" s="2263">
        <f>IF(ISERROR((AD26*AD27)),0,(AD26*AD27))</f>
        <v>0</v>
      </c>
      <c r="AE28" s="2264"/>
      <c r="AF28" s="2264"/>
      <c r="AG28" s="2264"/>
      <c r="AH28" s="2264"/>
      <c r="AI28" s="2263">
        <f>IF(ISERROR((AI26*AI27)),0,(AI26*AI27))</f>
        <v>0</v>
      </c>
      <c r="AJ28" s="2264"/>
      <c r="AK28" s="2264"/>
      <c r="AL28" s="2264"/>
      <c r="AM28" s="2264"/>
    </row>
    <row r="29" spans="1:40" ht="13" customHeight="1">
      <c r="B29" s="2270" t="s">
        <v>2106</v>
      </c>
      <c r="C29" s="2271"/>
      <c r="D29" s="2271"/>
      <c r="E29" s="2271"/>
      <c r="F29" s="2271"/>
      <c r="G29" s="2271"/>
      <c r="H29" s="2271"/>
      <c r="I29" s="2271"/>
      <c r="J29" s="2271"/>
      <c r="K29" s="2271"/>
      <c r="L29" s="2271"/>
      <c r="M29" s="2271"/>
      <c r="N29" s="2271"/>
      <c r="O29" s="2271"/>
      <c r="P29" s="2271"/>
      <c r="Q29" s="2271"/>
      <c r="R29" s="2271"/>
      <c r="S29" s="2272"/>
      <c r="T29" s="2265">
        <f>T28+Y28+AD28+AI28</f>
        <v>36140820</v>
      </c>
      <c r="U29" s="2266"/>
      <c r="V29" s="2266"/>
      <c r="W29" s="2266"/>
      <c r="X29" s="2266"/>
      <c r="Y29" s="2266"/>
      <c r="Z29" s="2266"/>
      <c r="AA29" s="2266"/>
      <c r="AB29" s="2266"/>
      <c r="AC29" s="2266"/>
      <c r="AD29" s="2266"/>
      <c r="AE29" s="2266"/>
      <c r="AF29" s="2266"/>
      <c r="AG29" s="2266"/>
      <c r="AH29" s="2266"/>
      <c r="AI29" s="2266"/>
      <c r="AJ29" s="2266"/>
      <c r="AK29" s="2266"/>
      <c r="AL29" s="2266"/>
      <c r="AM29" s="2263"/>
    </row>
    <row r="30" spans="1:40" ht="13" customHeight="1">
      <c r="B30" s="2273" t="s">
        <v>2107</v>
      </c>
      <c r="C30" s="2273"/>
      <c r="D30" s="2273"/>
      <c r="E30" s="2273"/>
      <c r="F30" s="2273"/>
      <c r="G30" s="2273"/>
      <c r="H30" s="2273"/>
      <c r="I30" s="2273"/>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row>
    <row r="31" spans="1:40" ht="13" customHeight="1">
      <c r="B31" s="2273" t="s">
        <v>2108</v>
      </c>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369"/>
    </row>
    <row r="32" spans="1:40" ht="13" customHeight="1">
      <c r="B32" s="1110"/>
      <c r="C32" s="362" t="s">
        <v>2109</v>
      </c>
      <c r="D32" s="1110"/>
      <c r="E32" s="1110"/>
      <c r="F32" s="1110"/>
      <c r="G32" s="1110"/>
      <c r="H32" s="1110"/>
      <c r="I32" s="1110"/>
      <c r="J32" s="1110"/>
      <c r="K32" s="1110"/>
      <c r="L32" s="1110"/>
      <c r="M32" s="1110"/>
      <c r="N32" s="1110"/>
      <c r="O32" s="1110"/>
      <c r="P32" s="1110"/>
      <c r="Q32" s="1110"/>
      <c r="R32" s="1110"/>
      <c r="S32" s="1110"/>
      <c r="T32" s="1110"/>
      <c r="U32" s="1110"/>
      <c r="V32" s="1110"/>
      <c r="W32" s="1110"/>
      <c r="X32" s="1110"/>
      <c r="Y32" s="1110"/>
      <c r="Z32" s="1110"/>
      <c r="AA32" s="1110"/>
      <c r="AB32" s="1110"/>
      <c r="AC32" s="1110"/>
      <c r="AD32" s="1110"/>
      <c r="AE32" s="1110"/>
      <c r="AF32" s="1110"/>
      <c r="AG32" s="1110"/>
      <c r="AH32" s="1110"/>
      <c r="AI32" s="1110"/>
      <c r="AJ32" s="1110"/>
      <c r="AK32" s="1110"/>
      <c r="AL32" s="1110"/>
      <c r="AM32" s="1110"/>
    </row>
    <row r="34" spans="1:76" ht="13" customHeight="1">
      <c r="A34" s="274" t="s">
        <v>913</v>
      </c>
      <c r="C34" s="274" t="s">
        <v>279</v>
      </c>
    </row>
    <row r="35" spans="1:76" ht="13"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91" t="s">
        <v>2110</v>
      </c>
      <c r="Z35" s="2291"/>
      <c r="AA35" s="2291"/>
      <c r="AB35" s="2291"/>
      <c r="AC35" s="2291"/>
      <c r="AD35" s="2311" t="s">
        <v>2111</v>
      </c>
      <c r="AE35" s="2311"/>
      <c r="AF35" s="2311"/>
      <c r="AG35" s="2311"/>
      <c r="AH35" s="2311"/>
    </row>
    <row r="36" spans="1:76" ht="13" customHeight="1">
      <c r="B36" s="277"/>
      <c r="X36" s="282"/>
      <c r="Y36" s="2291"/>
      <c r="Z36" s="2291"/>
      <c r="AA36" s="2291"/>
      <c r="AB36" s="2291"/>
      <c r="AC36" s="2291"/>
      <c r="AD36" s="2311"/>
      <c r="AE36" s="2311"/>
      <c r="AF36" s="2311"/>
      <c r="AG36" s="2311"/>
      <c r="AH36" s="2311"/>
    </row>
    <row r="37" spans="1:76" ht="13"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91"/>
      <c r="Z37" s="2291"/>
      <c r="AA37" s="2291"/>
      <c r="AB37" s="2291"/>
      <c r="AC37" s="2291"/>
      <c r="AD37" s="2311"/>
      <c r="AE37" s="2311"/>
      <c r="AF37" s="2311"/>
      <c r="AG37" s="2311"/>
      <c r="AH37" s="2311"/>
    </row>
    <row r="38" spans="1:76" ht="13" customHeight="1">
      <c r="A38" s="274"/>
      <c r="B38" s="2270" t="s">
        <v>2105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36140820</v>
      </c>
      <c r="Z38" s="2264"/>
      <c r="AA38" s="2264"/>
      <c r="AB38" s="2264"/>
      <c r="AC38" s="2264"/>
      <c r="AD38" s="2264">
        <f>IF(T24&gt;=(T23+Y23+AD23+AI23),AD28+AI28,0)</f>
        <v>0</v>
      </c>
      <c r="AE38" s="2264"/>
      <c r="AF38" s="2264"/>
      <c r="AG38" s="2264"/>
      <c r="AH38" s="2264"/>
    </row>
    <row r="39" spans="1:76" ht="13" customHeight="1">
      <c r="B39" s="2270" t="s">
        <v>2112</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312">
        <v>0.04</v>
      </c>
      <c r="Z39" s="2312"/>
      <c r="AA39" s="2312"/>
      <c r="AB39" s="2312"/>
      <c r="AC39" s="2312"/>
      <c r="AD39" s="2312">
        <v>0.04</v>
      </c>
      <c r="AE39" s="2312"/>
      <c r="AF39" s="2312"/>
      <c r="AG39" s="2312"/>
      <c r="AH39" s="2312"/>
    </row>
    <row r="40" spans="1:76" ht="13" customHeight="1">
      <c r="A40" s="274"/>
      <c r="B40" s="2270" t="s">
        <v>2113</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1445633</v>
      </c>
      <c r="Z40" s="2264"/>
      <c r="AA40" s="2264"/>
      <c r="AB40" s="2264"/>
      <c r="AC40" s="2264"/>
      <c r="AD40" s="2263">
        <f>ROUND(AD38*AD39,0)</f>
        <v>0</v>
      </c>
      <c r="AE40" s="2264"/>
      <c r="AF40" s="2264"/>
      <c r="AG40" s="2264"/>
      <c r="AH40" s="2264"/>
    </row>
    <row r="41" spans="1:76" ht="13" customHeight="1">
      <c r="B41" s="2270" t="s">
        <v>2114</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5">
        <f>Y40+AD40</f>
        <v>1445633</v>
      </c>
      <c r="Z41" s="2266"/>
      <c r="AA41" s="2266"/>
      <c r="AB41" s="2266"/>
      <c r="AC41" s="2266"/>
      <c r="AD41" s="2266"/>
      <c r="AE41" s="2266"/>
      <c r="AF41" s="2266"/>
      <c r="AG41" s="2266"/>
      <c r="AH41" s="2263"/>
    </row>
    <row r="42" spans="1:76" ht="13"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3"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3" customHeight="1" thickBot="1">
      <c r="A44" s="2268" t="s">
        <v>2115</v>
      </c>
      <c r="B44" s="2268"/>
      <c r="C44" s="2268"/>
      <c r="D44" s="2268"/>
      <c r="E44" s="2268"/>
      <c r="F44" s="2268"/>
      <c r="G44" s="2268"/>
      <c r="H44" s="2268"/>
      <c r="I44" s="2268"/>
      <c r="J44" s="2268"/>
      <c r="K44" s="2268"/>
      <c r="L44" s="22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c r="AS44" s="2268"/>
      <c r="AT44" s="2268"/>
      <c r="AU44" s="2268"/>
      <c r="AV44" s="2268"/>
      <c r="AW44" s="2268"/>
      <c r="AX44" s="2268"/>
      <c r="AY44" s="2268"/>
      <c r="AZ44" s="2268"/>
      <c r="BA44" s="2268"/>
      <c r="BB44" s="2268"/>
      <c r="BC44" s="2268"/>
      <c r="BD44" s="2268"/>
      <c r="BE44" s="2268"/>
      <c r="BF44" s="2268"/>
      <c r="BG44" s="2268"/>
      <c r="BH44" s="2268"/>
      <c r="BI44" s="2268"/>
      <c r="BJ44" s="2268"/>
      <c r="BK44" s="2268"/>
      <c r="BL44" s="2268"/>
      <c r="BM44" s="2268"/>
      <c r="BN44" s="2268"/>
      <c r="BO44" s="2268"/>
      <c r="BP44" s="2268"/>
      <c r="BQ44" s="2268"/>
      <c r="BR44" s="2268"/>
      <c r="BS44" s="2268"/>
      <c r="BT44" s="2268"/>
      <c r="BU44" s="2268"/>
      <c r="BV44" s="2268"/>
      <c r="BW44" s="2268"/>
      <c r="BX44" s="2268"/>
    </row>
    <row r="45" spans="1:76" s="113" customFormat="1" ht="13" customHeight="1" thickTop="1"/>
    <row r="46" spans="1:76" ht="13" customHeight="1">
      <c r="A46" s="274" t="s">
        <v>992</v>
      </c>
      <c r="C46" s="274" t="s">
        <v>282</v>
      </c>
    </row>
    <row r="47" spans="1:76" ht="13" customHeight="1">
      <c r="D47" s="274" t="s">
        <v>678</v>
      </c>
      <c r="AB47" s="2280">
        <f>'Sources and Uses Budget'!B105-MAX(IF('Sources and Uses Budget'!B15="",0,'Sources and Uses Budget'!B15),IF(Application!AG394="",0,Application!AG394))</f>
        <v>38600081</v>
      </c>
      <c r="AC47" s="2281"/>
      <c r="AD47" s="2281"/>
      <c r="AE47" s="2281"/>
      <c r="AF47" s="2282"/>
    </row>
    <row r="48" spans="1:76" ht="13" customHeight="1">
      <c r="D48" s="274" t="s">
        <v>175</v>
      </c>
      <c r="AB48" s="2280">
        <f>Application!AO639-MAX(IF('Sources and Uses Budget'!B15="",0,'Sources and Uses Budget'!B15),IF(Application!AG394="",0,Application!AG394))</f>
        <v>25023943</v>
      </c>
      <c r="AC48" s="2281"/>
      <c r="AD48" s="2281"/>
      <c r="AE48" s="2281"/>
      <c r="AF48" s="2282"/>
    </row>
    <row r="49" spans="1:76" ht="13" customHeight="1">
      <c r="D49" s="274" t="s">
        <v>2116</v>
      </c>
      <c r="AB49" s="2280">
        <f>AB47-AB48</f>
        <v>13576138</v>
      </c>
      <c r="AC49" s="2281"/>
      <c r="AD49" s="2281"/>
      <c r="AE49" s="2281"/>
      <c r="AF49" s="2282"/>
    </row>
    <row r="50" spans="1:76" ht="13" customHeight="1">
      <c r="D50" s="274" t="s">
        <v>2117</v>
      </c>
      <c r="AA50" s="285"/>
      <c r="AB50" s="2307">
        <v>0.93911370000000005</v>
      </c>
      <c r="AC50" s="2308"/>
      <c r="AD50" s="2308"/>
      <c r="AE50" s="2308"/>
      <c r="AF50" s="2309"/>
    </row>
    <row r="51" spans="1:76" s="286" customFormat="1" ht="13" customHeight="1">
      <c r="A51" s="272"/>
      <c r="B51" s="272"/>
      <c r="C51" s="272"/>
      <c r="D51" s="272"/>
      <c r="E51" s="2310" t="s">
        <v>2118</v>
      </c>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1037"/>
      <c r="AB51" s="1037"/>
      <c r="AC51" s="1037"/>
      <c r="AD51" s="1037"/>
      <c r="AE51" s="1037"/>
      <c r="AF51" s="1037"/>
      <c r="AG51" s="272"/>
      <c r="AH51" s="272"/>
      <c r="AI51" s="272"/>
      <c r="AJ51" s="272"/>
      <c r="AK51" s="272"/>
      <c r="AL51" s="272"/>
      <c r="AM51" s="272"/>
      <c r="AN51" s="272"/>
    </row>
    <row r="52" spans="1:76" s="286" customFormat="1" ht="13" customHeight="1">
      <c r="A52" s="272"/>
      <c r="B52" s="272"/>
      <c r="C52" s="272"/>
      <c r="D52" s="272"/>
      <c r="E52" s="2310"/>
      <c r="F52" s="2310"/>
      <c r="G52" s="2310"/>
      <c r="H52" s="2310"/>
      <c r="I52" s="2310"/>
      <c r="J52" s="2310"/>
      <c r="K52" s="2310"/>
      <c r="L52" s="2310"/>
      <c r="M52" s="2310"/>
      <c r="N52" s="2310"/>
      <c r="O52" s="2310"/>
      <c r="P52" s="2310"/>
      <c r="Q52" s="2310"/>
      <c r="R52" s="2310"/>
      <c r="S52" s="2310"/>
      <c r="T52" s="2310"/>
      <c r="U52" s="2310"/>
      <c r="V52" s="2310"/>
      <c r="W52" s="2310"/>
      <c r="X52" s="2310"/>
      <c r="Y52" s="2310"/>
      <c r="Z52" s="2310"/>
      <c r="AA52" s="287"/>
      <c r="AB52" s="287"/>
      <c r="AC52" s="287"/>
      <c r="AD52" s="287"/>
      <c r="AE52" s="287"/>
      <c r="AF52" s="287"/>
      <c r="AG52" s="288"/>
      <c r="AH52" s="272"/>
      <c r="AI52" s="272"/>
      <c r="AJ52" s="272"/>
      <c r="AK52" s="272"/>
      <c r="AL52" s="272"/>
      <c r="AM52" s="272"/>
      <c r="AN52" s="272"/>
    </row>
    <row r="53" spans="1:76" ht="13" customHeight="1">
      <c r="E53" s="1037"/>
      <c r="F53" s="1037"/>
      <c r="G53" s="1037"/>
      <c r="H53" s="1037"/>
      <c r="I53" s="1037"/>
      <c r="J53" s="1037"/>
      <c r="K53" s="1037"/>
      <c r="L53" s="1037"/>
      <c r="M53" s="1037"/>
      <c r="N53" s="1037"/>
      <c r="O53" s="1037"/>
      <c r="P53" s="1037"/>
      <c r="Q53" s="1037"/>
      <c r="R53" s="1037"/>
      <c r="S53" s="1037"/>
      <c r="T53" s="1037"/>
      <c r="U53" s="1037"/>
      <c r="V53" s="1037"/>
      <c r="W53" s="1037"/>
      <c r="X53" s="1037"/>
      <c r="Y53" s="1037"/>
      <c r="Z53" s="1037"/>
    </row>
    <row r="54" spans="1:76" ht="13" customHeight="1">
      <c r="D54" s="274" t="s">
        <v>2119</v>
      </c>
      <c r="AB54" s="2280">
        <f>ROUND(IF(ISERROR((AB49/AB50)),0,(AB49/AB50)),0)</f>
        <v>14456330</v>
      </c>
      <c r="AC54" s="2281"/>
      <c r="AD54" s="2281"/>
      <c r="AE54" s="2281"/>
      <c r="AF54" s="2282"/>
    </row>
    <row r="55" spans="1:76" ht="13" customHeight="1">
      <c r="D55" s="274" t="s">
        <v>2120</v>
      </c>
      <c r="AB55" s="2280">
        <f>(AB54/10)</f>
        <v>1445633</v>
      </c>
      <c r="AC55" s="2281"/>
      <c r="AD55" s="2281"/>
      <c r="AE55" s="2281"/>
      <c r="AF55" s="2282"/>
    </row>
    <row r="56" spans="1:76" ht="13" customHeight="1">
      <c r="D56" s="274" t="s">
        <v>2121</v>
      </c>
      <c r="AB56" s="2280">
        <f>ROUND((IF((Y41&lt;AB55),Y41,AB55)),0)</f>
        <v>1445633</v>
      </c>
      <c r="AC56" s="2281"/>
      <c r="AD56" s="2281"/>
      <c r="AE56" s="2281"/>
      <c r="AF56" s="2282"/>
    </row>
    <row r="57" spans="1:76" ht="13" customHeight="1">
      <c r="D57" s="274" t="s">
        <v>2122</v>
      </c>
      <c r="AB57" s="2280">
        <f>ROUND((10*AB56*AB50),0)</f>
        <v>13576138</v>
      </c>
      <c r="AC57" s="2281"/>
      <c r="AD57" s="2281"/>
      <c r="AE57" s="2281"/>
      <c r="AF57" s="2282"/>
    </row>
    <row r="58" spans="1:76" ht="13" customHeight="1">
      <c r="D58" s="274"/>
      <c r="AB58" s="292"/>
      <c r="AC58" s="292"/>
      <c r="AD58" s="292"/>
      <c r="AE58" s="292"/>
      <c r="AF58" s="292"/>
    </row>
    <row r="59" spans="1:76" ht="13" customHeight="1">
      <c r="D59" s="274" t="s">
        <v>2123</v>
      </c>
      <c r="AB59" s="2303">
        <f>AB49-AB57</f>
        <v>0</v>
      </c>
      <c r="AC59" s="2303"/>
      <c r="AD59" s="2303"/>
      <c r="AE59" s="2303"/>
      <c r="AF59" s="2303"/>
    </row>
    <row r="60" spans="1:76" ht="13" customHeight="1">
      <c r="D60" s="274"/>
      <c r="AB60" s="292"/>
      <c r="AC60" s="292"/>
      <c r="AD60" s="292"/>
      <c r="AE60" s="292"/>
      <c r="AF60" s="292"/>
    </row>
    <row r="61" spans="1:76" s="113" customFormat="1" ht="13" customHeight="1" thickBot="1">
      <c r="A61" s="2268" t="str">
        <f>IF(Application!AP205="yes","Farmworker State Credit", "State Credit" )</f>
        <v>State Credit</v>
      </c>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8"/>
      <c r="AX61" s="2268"/>
      <c r="AY61" s="2268"/>
      <c r="AZ61" s="2268"/>
      <c r="BA61" s="2268"/>
      <c r="BB61" s="2268"/>
      <c r="BC61" s="2268"/>
      <c r="BD61" s="2268"/>
      <c r="BE61" s="2268"/>
      <c r="BF61" s="2268"/>
      <c r="BG61" s="2268"/>
      <c r="BH61" s="2268"/>
      <c r="BI61" s="2268"/>
      <c r="BJ61" s="2268"/>
      <c r="BK61" s="2268"/>
      <c r="BL61" s="2268"/>
      <c r="BM61" s="2268"/>
      <c r="BN61" s="2268"/>
      <c r="BO61" s="2268"/>
      <c r="BP61" s="2268"/>
      <c r="BQ61" s="2268"/>
      <c r="BR61" s="2268"/>
      <c r="BS61" s="2268"/>
      <c r="BT61" s="2268"/>
      <c r="BU61" s="2268"/>
      <c r="BV61" s="2268"/>
      <c r="BW61" s="2268"/>
      <c r="BX61" s="2268"/>
    </row>
    <row r="62" spans="1:76" s="113" customFormat="1" ht="13" customHeight="1" thickTop="1"/>
    <row r="63" spans="1:76" ht="13" customHeight="1">
      <c r="A63" s="274" t="s">
        <v>1010</v>
      </c>
      <c r="C63" s="114" t="s">
        <v>2124</v>
      </c>
      <c r="Y63" s="2304" t="s">
        <v>2125</v>
      </c>
      <c r="Z63" s="2304"/>
      <c r="AA63" s="2304"/>
      <c r="AB63" s="2304"/>
      <c r="AC63" s="2304"/>
      <c r="AD63" s="2304" t="s">
        <v>2111</v>
      </c>
      <c r="AE63" s="2304"/>
      <c r="AF63" s="2304"/>
      <c r="AG63" s="2304"/>
      <c r="AH63" s="2304"/>
    </row>
    <row r="64" spans="1:76" ht="13" customHeight="1">
      <c r="C64" s="274"/>
      <c r="D64" s="250" t="s">
        <v>2126</v>
      </c>
      <c r="E64" s="289"/>
      <c r="F64" s="289"/>
      <c r="G64" s="289"/>
      <c r="H64" s="289"/>
      <c r="I64" s="289"/>
      <c r="J64" s="289"/>
      <c r="K64" s="289"/>
      <c r="L64" s="289"/>
      <c r="M64" s="289"/>
      <c r="N64" s="289"/>
      <c r="O64" s="289"/>
      <c r="P64" s="289"/>
      <c r="Q64" s="289"/>
      <c r="R64" s="289"/>
      <c r="S64" s="289"/>
      <c r="T64" s="289"/>
      <c r="U64" s="289"/>
      <c r="V64" s="289"/>
      <c r="W64" s="289"/>
      <c r="X64" s="289"/>
      <c r="Y64" s="2265">
        <f>IF(Application!$Z$205="(select)",0,((T23*T27)+Y28))</f>
        <v>0</v>
      </c>
      <c r="Z64" s="2305"/>
      <c r="AA64" s="2305"/>
      <c r="AB64" s="2305"/>
      <c r="AC64" s="2306"/>
      <c r="AD64" s="2265">
        <f>IF(AND(OR(Application!D211="At-Risk",Application!D211="At-Risk and Special Needs"),Application!M358="yes"),AD28+AI28,0)</f>
        <v>0</v>
      </c>
      <c r="AE64" s="2305"/>
      <c r="AF64" s="2305"/>
      <c r="AG64" s="2305"/>
      <c r="AH64" s="2306"/>
    </row>
    <row r="65" spans="1:36" ht="13" customHeight="1">
      <c r="C65" s="274"/>
      <c r="E65" s="802" t="s">
        <v>2127</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2" t="s">
        <v>2128</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3" customHeight="1">
      <c r="C67" s="274"/>
      <c r="D67" s="274" t="s">
        <v>2129</v>
      </c>
      <c r="E67" s="290"/>
      <c r="F67" s="290"/>
      <c r="G67" s="290"/>
      <c r="H67" s="290"/>
      <c r="I67" s="290"/>
      <c r="J67" s="290"/>
      <c r="K67" s="290"/>
      <c r="L67" s="290"/>
      <c r="M67" s="290"/>
      <c r="N67" s="290"/>
      <c r="O67" s="290"/>
      <c r="P67" s="290"/>
      <c r="Q67" s="290"/>
      <c r="R67" s="290"/>
      <c r="S67" s="290"/>
      <c r="T67" s="290"/>
      <c r="U67" s="290"/>
      <c r="V67" s="290"/>
      <c r="W67" s="290"/>
      <c r="X67" s="290"/>
      <c r="Y67" s="2318" cm="1">
        <f t="array" ref="Y67">_xlfn.IFS(OR(Application!Z205="State Farmworker Credit",Application!Z205="$500M (Farmworker Housing)"),0.75,Application!Z205="15% set-aside",0.13,Application!Z205="15% set-aside with qualifying low value rehab",0.95,Application!Z205="$500M",0.3,TRUE,0)</f>
        <v>0</v>
      </c>
      <c r="Z67" s="2318"/>
      <c r="AA67" s="2318"/>
      <c r="AB67" s="2318"/>
      <c r="AC67" s="2318"/>
      <c r="AD67" s="2318" cm="1">
        <f t="array" ref="AD67">_xlfn.IFS(Application!Z205="15% set-aside with qualifying low value rehab", 0.95,OR(Application!D211="At-Risk",'Points System'!B13="Yes"),0.13,TRUE,0)</f>
        <v>0</v>
      </c>
      <c r="AE67" s="2318"/>
      <c r="AF67" s="2318"/>
      <c r="AG67" s="2318"/>
      <c r="AH67" s="2318"/>
    </row>
    <row r="68" spans="1:36" ht="13" customHeight="1">
      <c r="C68" s="274"/>
      <c r="D68" s="114" t="s">
        <v>2130</v>
      </c>
      <c r="Y68" s="2264">
        <f>ROUND(Y64*Y67,0)</f>
        <v>0</v>
      </c>
      <c r="Z68" s="2319"/>
      <c r="AA68" s="2319"/>
      <c r="AB68" s="2319"/>
      <c r="AC68" s="2319"/>
      <c r="AD68" s="2264">
        <f>ROUND(AD64*AD67,0)</f>
        <v>0</v>
      </c>
      <c r="AE68" s="2319"/>
      <c r="AF68" s="2319"/>
      <c r="AG68" s="2319"/>
      <c r="AH68" s="2319"/>
    </row>
    <row r="69" spans="1:36" ht="13" customHeight="1">
      <c r="C69" s="274"/>
      <c r="D69" s="114" t="s">
        <v>2131</v>
      </c>
      <c r="Y69" s="2264">
        <f>IF(OR(Application!Z205="State Farmworker Credit",Application!Z205="$500M (Farmworker Housing)"),Y68+AD68,MIN(Y68+AD68,200000*(Application!G753+Application!O777)))</f>
        <v>0</v>
      </c>
      <c r="Z69" s="2264"/>
      <c r="AA69" s="2264"/>
      <c r="AB69" s="2264"/>
      <c r="AC69" s="2264"/>
      <c r="AD69" s="2264"/>
      <c r="AE69" s="2264"/>
      <c r="AF69" s="2264"/>
      <c r="AG69" s="2264"/>
      <c r="AH69" s="2264"/>
    </row>
    <row r="70" spans="1:36" ht="13" customHeight="1">
      <c r="C70" s="274"/>
      <c r="E70" s="274"/>
      <c r="AB70" s="291"/>
      <c r="AC70" s="291"/>
      <c r="AD70" s="291"/>
      <c r="AE70" s="291"/>
      <c r="AF70" s="291"/>
    </row>
    <row r="71" spans="1:36" ht="13" customHeight="1">
      <c r="A71" s="274" t="s">
        <v>1022</v>
      </c>
      <c r="C71" s="114" t="s">
        <v>288</v>
      </c>
    </row>
    <row r="72" spans="1:36" ht="13" customHeight="1">
      <c r="A72" s="274"/>
      <c r="C72" s="274"/>
      <c r="D72" s="114" t="s">
        <v>732</v>
      </c>
      <c r="AB72" s="2307"/>
      <c r="AC72" s="2308"/>
      <c r="AD72" s="2308"/>
      <c r="AE72" s="2308"/>
      <c r="AF72" s="2309"/>
    </row>
    <row r="73" spans="1:36" ht="13" customHeight="1">
      <c r="A73" s="274"/>
      <c r="C73" s="274"/>
      <c r="D73" s="274"/>
      <c r="E73" s="2320" t="s">
        <v>2132</v>
      </c>
      <c r="F73" s="2320"/>
      <c r="G73" s="2320"/>
      <c r="H73" s="2320"/>
      <c r="I73" s="2320"/>
      <c r="J73" s="2320"/>
      <c r="K73" s="2320"/>
      <c r="L73" s="2320"/>
      <c r="M73" s="2320"/>
      <c r="N73" s="2320"/>
      <c r="O73" s="2320"/>
      <c r="P73" s="2320"/>
      <c r="Q73" s="2320"/>
      <c r="R73" s="2320"/>
      <c r="S73" s="2320"/>
      <c r="T73" s="2320"/>
      <c r="U73" s="2320"/>
      <c r="V73" s="2320"/>
      <c r="W73" s="2320"/>
      <c r="X73" s="2320"/>
      <c r="Y73" s="2320"/>
      <c r="Z73" s="2320"/>
      <c r="AA73" s="2320"/>
      <c r="AB73" s="306"/>
      <c r="AC73" s="306"/>
    </row>
    <row r="74" spans="1:36" ht="13" customHeight="1">
      <c r="A74" s="274"/>
      <c r="C74" s="274"/>
      <c r="D74" s="274"/>
      <c r="E74" s="2320"/>
      <c r="F74" s="2320"/>
      <c r="G74" s="2320"/>
      <c r="H74" s="2320"/>
      <c r="I74" s="2320"/>
      <c r="J74" s="2320"/>
      <c r="K74" s="2320"/>
      <c r="L74" s="2320"/>
      <c r="M74" s="2320"/>
      <c r="N74" s="2320"/>
      <c r="O74" s="2320"/>
      <c r="P74" s="2320"/>
      <c r="Q74" s="2320"/>
      <c r="R74" s="2320"/>
      <c r="S74" s="2320"/>
      <c r="T74" s="2320"/>
      <c r="U74" s="2320"/>
      <c r="V74" s="2320"/>
      <c r="W74" s="2320"/>
      <c r="X74" s="2320"/>
      <c r="Y74" s="2320"/>
      <c r="Z74" s="2320"/>
      <c r="AA74" s="2320"/>
      <c r="AB74" s="306"/>
      <c r="AC74" s="306"/>
    </row>
    <row r="75" spans="1:36" ht="13" customHeight="1">
      <c r="A75" s="274"/>
      <c r="C75" s="274"/>
      <c r="D75" s="274"/>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306"/>
      <c r="AC75" s="306"/>
    </row>
    <row r="76" spans="1:36" ht="13"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3" customHeight="1">
      <c r="C77" s="274"/>
      <c r="D77" s="114" t="s">
        <v>2133</v>
      </c>
      <c r="AB77" s="2313">
        <f>ROUND(IF(ISERROR((AB59/AB72)),0,(AB59/AB72)),0)</f>
        <v>0</v>
      </c>
      <c r="AC77" s="2313"/>
      <c r="AD77" s="2313"/>
      <c r="AE77" s="2313"/>
      <c r="AF77" s="2313"/>
    </row>
    <row r="78" spans="1:36" ht="13" customHeight="1">
      <c r="C78" s="274"/>
      <c r="D78" s="114" t="s">
        <v>2134</v>
      </c>
      <c r="AB78" s="2314">
        <f>ROUNDUP(MIN(Y69,AB77),0)</f>
        <v>0</v>
      </c>
      <c r="AC78" s="2315"/>
      <c r="AD78" s="2315"/>
      <c r="AE78" s="2315"/>
      <c r="AF78" s="2316"/>
    </row>
    <row r="79" spans="1:36" ht="13" customHeight="1">
      <c r="C79" s="274"/>
      <c r="D79" s="114" t="s">
        <v>2135</v>
      </c>
      <c r="AB79" s="2317">
        <f>AB78*AB72</f>
        <v>0</v>
      </c>
      <c r="AC79" s="2317"/>
      <c r="AD79" s="2317"/>
      <c r="AE79" s="2317"/>
      <c r="AF79" s="2317"/>
    </row>
    <row r="80" spans="1:36" ht="13" customHeight="1">
      <c r="C80" s="274"/>
      <c r="D80" s="274"/>
      <c r="AB80" s="294"/>
      <c r="AC80" s="294"/>
      <c r="AD80" s="294"/>
      <c r="AE80" s="294"/>
      <c r="AF80" s="294"/>
    </row>
    <row r="81" spans="1:78" ht="13" customHeight="1">
      <c r="D81" s="274" t="s">
        <v>2123</v>
      </c>
      <c r="AB81" s="2303">
        <f>AB49-(AB57+AB79)</f>
        <v>0</v>
      </c>
      <c r="AC81" s="2303"/>
      <c r="AD81" s="2303"/>
      <c r="AE81" s="2303"/>
      <c r="AF81" s="2303"/>
    </row>
    <row r="82" spans="1:78" ht="13" customHeight="1">
      <c r="F82" s="372"/>
      <c r="J82" s="372" t="str">
        <f>IF(AB81&gt;0,"FUNDING GAP MUST NOT EXCEED ZERO","")</f>
        <v/>
      </c>
    </row>
    <row r="83" spans="1:78" ht="13" customHeight="1">
      <c r="D83" s="373"/>
    </row>
    <row r="84" spans="1:78" ht="13" customHeight="1" thickBot="1">
      <c r="A84" s="2268"/>
      <c r="B84" s="2268"/>
      <c r="C84" s="2268"/>
      <c r="D84" s="2268"/>
      <c r="E84" s="2268"/>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8"/>
      <c r="AK84" s="2268"/>
      <c r="AL84" s="2268"/>
      <c r="AM84" s="2268"/>
      <c r="AN84" s="2268"/>
      <c r="AO84" s="2268"/>
      <c r="AP84" s="2268"/>
      <c r="AQ84" s="2268"/>
      <c r="AR84" s="2268"/>
      <c r="AS84" s="2268"/>
      <c r="AT84" s="2268"/>
      <c r="AU84" s="2268"/>
      <c r="AV84" s="2268"/>
      <c r="AW84" s="2268"/>
      <c r="AX84" s="2268"/>
      <c r="AY84" s="2268"/>
      <c r="AZ84" s="2268"/>
      <c r="BA84" s="2268"/>
      <c r="BB84" s="2268"/>
      <c r="BC84" s="2268"/>
      <c r="BD84" s="2268"/>
      <c r="BE84" s="2268"/>
      <c r="BF84" s="2268"/>
      <c r="BG84" s="2268"/>
      <c r="BH84" s="2268"/>
      <c r="BI84" s="2268"/>
      <c r="BJ84" s="2268"/>
      <c r="BK84" s="2268"/>
      <c r="BL84" s="2268"/>
      <c r="BM84" s="2268"/>
      <c r="BN84" s="2268"/>
      <c r="BO84" s="2268"/>
      <c r="BP84" s="2268"/>
      <c r="BQ84" s="2268"/>
      <c r="BR84" s="2268"/>
      <c r="BS84" s="2268"/>
      <c r="BT84" s="2268"/>
      <c r="BU84" s="2268"/>
      <c r="BV84" s="2268"/>
      <c r="BW84" s="2268"/>
      <c r="BX84" s="2268"/>
    </row>
    <row r="85" spans="1:78" ht="13" customHeight="1" thickTop="1"/>
    <row r="86" spans="1:78" ht="13" customHeight="1">
      <c r="A86" s="274"/>
      <c r="C86" s="114"/>
    </row>
    <row r="87" spans="1:78" ht="13" customHeight="1">
      <c r="D87" s="114"/>
      <c r="AB87" s="2269"/>
      <c r="AC87" s="2269"/>
      <c r="AD87" s="2269"/>
      <c r="AE87" s="2269"/>
      <c r="AF87" s="2269"/>
    </row>
    <row r="88" spans="1:78" ht="13" customHeight="1" thickBot="1">
      <c r="D88" s="114"/>
      <c r="AB88" s="2267"/>
      <c r="AC88" s="2267"/>
      <c r="AD88" s="2267"/>
      <c r="AE88" s="2267"/>
      <c r="AF88" s="2267"/>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2" workbookViewId="0">
      <selection activeCell="AO18" sqref="AO18"/>
    </sheetView>
  </sheetViews>
  <sheetFormatPr defaultColWidth="0" defaultRowHeight="12.5" zeroHeight="1"/>
  <cols>
    <col min="1" max="1" width="2.7265625" style="11" customWidth="1"/>
    <col min="2" max="3" width="2.453125" style="11" customWidth="1"/>
    <col min="4" max="4" width="3.1796875" style="11" customWidth="1"/>
    <col min="5" max="5" width="3.453125" style="11" customWidth="1"/>
    <col min="6" max="6" width="2.81640625" style="11" customWidth="1"/>
    <col min="7" max="14" width="2.453125" style="11" customWidth="1"/>
    <col min="15" max="15" width="2.81640625" style="11" customWidth="1"/>
    <col min="16" max="16" width="2.453125" style="11" customWidth="1"/>
    <col min="17" max="17" width="3.81640625" style="11" customWidth="1"/>
    <col min="18" max="18" width="4.453125" style="11" customWidth="1"/>
    <col min="19" max="19" width="3.26953125" style="11" customWidth="1"/>
    <col min="20" max="32" width="2.453125" style="11" customWidth="1"/>
    <col min="33" max="33" width="3.453125" style="11" customWidth="1"/>
    <col min="34" max="36" width="2.453125" style="11" customWidth="1"/>
    <col min="37" max="37" width="5.453125" style="11" customWidth="1"/>
    <col min="38" max="38" width="2.453125" style="11" customWidth="1"/>
    <col min="39" max="39" width="3.453125" style="11" customWidth="1"/>
    <col min="40" max="40" width="5.453125" style="383" customWidth="1"/>
    <col min="41" max="41" width="5.453125" style="23" hidden="1" customWidth="1"/>
    <col min="42" max="45" width="5.453125" style="11" hidden="1" customWidth="1"/>
    <col min="46" max="46" width="10.81640625" style="11" hidden="1" customWidth="1"/>
    <col min="47" max="48" width="5.453125" style="11" hidden="1" customWidth="1"/>
    <col min="49" max="49" width="8.7265625" style="11" hidden="1" customWidth="1"/>
    <col min="50" max="50" width="7.453125" style="11" hidden="1" customWidth="1"/>
    <col min="51" max="55" width="5.453125" style="11" hidden="1" customWidth="1"/>
    <col min="56" max="60" width="5.453125" style="25" hidden="1" customWidth="1"/>
    <col min="61" max="81" width="5.453125" style="11" hidden="1" customWidth="1"/>
    <col min="82" max="16384" width="9.1796875" style="11" hidden="1"/>
  </cols>
  <sheetData>
    <row r="1" spans="1:42" ht="15.75" customHeight="1">
      <c r="A1" s="2551" t="s">
        <v>2136</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2" s="385"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2137</v>
      </c>
      <c r="B4" s="388" t="s">
        <v>2138</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2139</v>
      </c>
      <c r="B7" s="388" t="s">
        <v>2140</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92" t="s">
        <v>2141</v>
      </c>
      <c r="AF7" s="2392"/>
      <c r="AG7" s="2392"/>
      <c r="AH7" s="2392"/>
      <c r="AI7" s="2392"/>
      <c r="AJ7" s="2392"/>
      <c r="AK7" s="2392"/>
      <c r="AL7" s="389"/>
      <c r="AM7" s="389"/>
      <c r="AN7" s="384"/>
    </row>
    <row r="8" spans="1:42" s="385" customFormat="1" ht="12.75" customHeight="1">
      <c r="A8" s="387"/>
      <c r="B8" s="388" t="s">
        <v>2142</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12"/>
      <c r="AF8" s="1112"/>
      <c r="AG8" s="1112"/>
      <c r="AH8" s="1112"/>
      <c r="AI8" s="1112"/>
      <c r="AJ8" s="1112"/>
      <c r="AK8" s="1112"/>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12"/>
      <c r="AF9" s="1112"/>
      <c r="AG9" s="1112"/>
      <c r="AH9" s="1112"/>
      <c r="AI9" s="1112"/>
      <c r="AJ9" s="1112"/>
      <c r="AK9" s="1112"/>
      <c r="AL9" s="389"/>
      <c r="AM9" s="389"/>
      <c r="AN9" s="384"/>
    </row>
    <row r="10" spans="1:42" s="385" customFormat="1" ht="12.75" customHeight="1">
      <c r="A10" s="387"/>
      <c r="B10" s="388" t="s">
        <v>2143</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112"/>
      <c r="AF10" s="1112"/>
      <c r="AG10" s="1112"/>
      <c r="AH10" s="1112"/>
      <c r="AI10" s="1112"/>
      <c r="AJ10" s="1112"/>
      <c r="AK10" s="1112"/>
      <c r="AL10" s="389"/>
      <c r="AM10" s="389"/>
      <c r="AN10" s="384"/>
    </row>
    <row r="11" spans="1:42" s="385" customFormat="1" ht="12.75" customHeight="1">
      <c r="A11" s="389"/>
      <c r="C11" s="921" t="s">
        <v>2144</v>
      </c>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389"/>
      <c r="AL11" s="389"/>
      <c r="AM11" s="389"/>
      <c r="AN11" s="384"/>
      <c r="AO11" s="1057"/>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545" t="s">
        <v>800</v>
      </c>
      <c r="C13" s="2545"/>
      <c r="D13" s="395"/>
      <c r="E13" s="396" t="s">
        <v>2145</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553"/>
      <c r="AH13" s="2553"/>
      <c r="AI13" s="2553"/>
      <c r="AJ13" s="2554"/>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545" t="s">
        <v>800</v>
      </c>
      <c r="C16" s="2545"/>
      <c r="D16" s="395"/>
      <c r="E16" s="2537" t="s">
        <v>2146</v>
      </c>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9"/>
      <c r="AK16" s="389"/>
      <c r="AL16" s="389"/>
      <c r="AM16" s="389"/>
      <c r="AN16" s="384"/>
      <c r="AO16" s="398">
        <f>IF($B25="yes",20,0)</f>
        <v>0</v>
      </c>
      <c r="AP16" s="11"/>
    </row>
    <row r="17" spans="1:42" s="385" customFormat="1" ht="12.75" customHeight="1">
      <c r="A17" s="389"/>
      <c r="B17" s="389"/>
      <c r="C17" s="389"/>
      <c r="D17" s="399"/>
      <c r="E17" s="2540"/>
      <c r="F17" s="2541"/>
      <c r="G17" s="2541"/>
      <c r="H17" s="2541"/>
      <c r="I17" s="2541"/>
      <c r="J17" s="2541"/>
      <c r="K17" s="2541"/>
      <c r="L17" s="2541"/>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2"/>
      <c r="AK17" s="389"/>
      <c r="AL17" s="389"/>
      <c r="AM17" s="389"/>
      <c r="AN17" s="384"/>
      <c r="AO17" s="398">
        <f>IF($B28="yes",20,0)</f>
        <v>0</v>
      </c>
    </row>
    <row r="18" spans="1:42" s="385" customFormat="1" ht="12.75" customHeight="1">
      <c r="A18" s="389"/>
      <c r="B18" s="389"/>
      <c r="C18" s="389"/>
      <c r="D18" s="399"/>
      <c r="E18" s="2540"/>
      <c r="F18" s="2541"/>
      <c r="G18" s="2541"/>
      <c r="H18" s="2541"/>
      <c r="I18" s="2541"/>
      <c r="J18" s="2541"/>
      <c r="K18" s="2541"/>
      <c r="L18" s="2541"/>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2"/>
      <c r="AK18" s="389"/>
      <c r="AL18" s="389"/>
      <c r="AM18" s="389"/>
      <c r="AN18" s="384"/>
      <c r="AO18" s="385">
        <f>IF(SUM(AO13:AO17)&gt;20,20,(SUM(AO13:AO17)))</f>
        <v>0</v>
      </c>
      <c r="AP18" s="385" t="s">
        <v>2147</v>
      </c>
    </row>
    <row r="19" spans="1:42" s="385" customFormat="1" ht="12.75" customHeight="1">
      <c r="A19" s="389"/>
      <c r="B19" s="389"/>
      <c r="C19" s="389"/>
      <c r="D19" s="399"/>
      <c r="E19" s="400" t="s">
        <v>2148</v>
      </c>
      <c r="F19" s="1114"/>
      <c r="G19" s="1114"/>
      <c r="H19" s="1114"/>
      <c r="I19" s="1114"/>
      <c r="J19" s="1114"/>
      <c r="K19" s="1114"/>
      <c r="L19" s="1114"/>
      <c r="M19" s="1114"/>
      <c r="N19" s="1114"/>
      <c r="O19" s="1114"/>
      <c r="P19" s="1114"/>
      <c r="Q19" s="1114"/>
      <c r="R19" s="1114"/>
      <c r="S19" s="1114"/>
      <c r="T19" s="1114"/>
      <c r="U19" s="1114"/>
      <c r="V19" s="1114"/>
      <c r="W19" s="1114"/>
      <c r="X19" s="1114"/>
      <c r="Y19" s="1114"/>
      <c r="Z19" s="1114"/>
      <c r="AA19" s="1114"/>
      <c r="AB19" s="1114"/>
      <c r="AC19" s="1114"/>
      <c r="AD19" s="1114"/>
      <c r="AE19" s="1114"/>
      <c r="AF19" s="1114"/>
      <c r="AG19" s="1114"/>
      <c r="AH19" s="1114"/>
      <c r="AI19" s="1114"/>
      <c r="AJ19" s="1115"/>
      <c r="AK19" s="389"/>
      <c r="AL19" s="389"/>
      <c r="AM19" s="389"/>
      <c r="AN19" s="384"/>
    </row>
    <row r="20" spans="1:42" s="385" customFormat="1" ht="12.75" customHeight="1">
      <c r="A20" s="389"/>
      <c r="B20" s="389"/>
      <c r="C20" s="389"/>
      <c r="D20" s="399"/>
      <c r="E20" s="2561"/>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3"/>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545" t="s">
        <v>800</v>
      </c>
      <c r="C22" s="2545"/>
      <c r="D22" s="395"/>
      <c r="E22" s="2555" t="s">
        <v>2149</v>
      </c>
      <c r="F22" s="2556"/>
      <c r="G22" s="2556"/>
      <c r="H22" s="2556"/>
      <c r="I22" s="2556"/>
      <c r="J22" s="2556"/>
      <c r="K22" s="2556"/>
      <c r="L22" s="2556"/>
      <c r="M22" s="2556"/>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7"/>
      <c r="AK22" s="389"/>
      <c r="AL22" s="389"/>
      <c r="AM22" s="389"/>
      <c r="AN22" s="384"/>
      <c r="AO22" s="398">
        <f>IF($B40="yes",14,0)</f>
        <v>0</v>
      </c>
    </row>
    <row r="23" spans="1:42" s="385" customFormat="1" ht="12.75" customHeight="1">
      <c r="A23" s="389"/>
      <c r="B23" s="389"/>
      <c r="C23" s="389"/>
      <c r="D23" s="398"/>
      <c r="E23" s="2558"/>
      <c r="F23" s="2559"/>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60"/>
      <c r="AK23" s="389"/>
      <c r="AL23" s="389"/>
      <c r="AM23" s="389"/>
      <c r="AN23" s="384"/>
      <c r="AO23" s="385">
        <f>IF(SUM(AO20:AO22)&gt;14,14,SUM(AO20:AO22))</f>
        <v>0</v>
      </c>
      <c r="AP23" s="385" t="s">
        <v>2147</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545" t="s">
        <v>800</v>
      </c>
      <c r="C25" s="2545"/>
      <c r="D25" s="395"/>
      <c r="E25" s="2472" t="s">
        <v>2150</v>
      </c>
      <c r="F25" s="2473"/>
      <c r="G25" s="2473"/>
      <c r="H25" s="2473"/>
      <c r="I25" s="2473"/>
      <c r="J25" s="2473"/>
      <c r="K25" s="2473"/>
      <c r="L25" s="2473"/>
      <c r="M25" s="2473"/>
      <c r="N25" s="2473"/>
      <c r="O25" s="2473"/>
      <c r="P25" s="2473"/>
      <c r="Q25" s="2473"/>
      <c r="R25" s="2473"/>
      <c r="S25" s="2473"/>
      <c r="T25" s="2473"/>
      <c r="U25" s="2473"/>
      <c r="V25" s="2473"/>
      <c r="W25" s="2473"/>
      <c r="X25" s="2473"/>
      <c r="Y25" s="2473"/>
      <c r="Z25" s="2473"/>
      <c r="AA25" s="2473"/>
      <c r="AB25" s="2473"/>
      <c r="AC25" s="2473"/>
      <c r="AD25" s="2473"/>
      <c r="AE25" s="2473"/>
      <c r="AF25" s="2473"/>
      <c r="AG25" s="2473"/>
      <c r="AH25" s="2473"/>
      <c r="AI25" s="2473"/>
      <c r="AJ25" s="2474"/>
      <c r="AK25" s="389"/>
      <c r="AL25" s="389"/>
      <c r="AM25" s="389"/>
      <c r="AN25" s="384"/>
      <c r="AO25" s="398">
        <f>IF($B45="yes",6,0)</f>
        <v>0</v>
      </c>
    </row>
    <row r="26" spans="1:42" s="385" customFormat="1" ht="12.75" customHeight="1">
      <c r="A26" s="389"/>
      <c r="B26" s="389"/>
      <c r="C26" s="389"/>
      <c r="D26" s="398"/>
      <c r="E26" s="2497"/>
      <c r="F26" s="2498"/>
      <c r="G26" s="2498"/>
      <c r="H26" s="2498"/>
      <c r="I26" s="2498"/>
      <c r="J26" s="2498"/>
      <c r="K26" s="2498"/>
      <c r="L26" s="2498"/>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9"/>
      <c r="AK26" s="389"/>
      <c r="AL26" s="389"/>
      <c r="AM26" s="389"/>
      <c r="AN26" s="384"/>
      <c r="AO26" s="385">
        <f>IF(AO25&gt;6,6,AO25)</f>
        <v>0</v>
      </c>
      <c r="AP26" s="385" t="s">
        <v>2147</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545" t="s">
        <v>800</v>
      </c>
      <c r="C28" s="2545"/>
      <c r="D28" s="395"/>
      <c r="E28" s="2574" t="s">
        <v>2151</v>
      </c>
      <c r="F28" s="2575"/>
      <c r="G28" s="2575"/>
      <c r="H28" s="2575"/>
      <c r="I28" s="2575"/>
      <c r="J28" s="2575"/>
      <c r="K28" s="2575"/>
      <c r="L28" s="257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6"/>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2152</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2147</v>
      </c>
    </row>
    <row r="33" spans="1:41" s="385" customFormat="1" ht="12.75" customHeight="1">
      <c r="A33" s="389"/>
      <c r="B33" s="2545" t="s">
        <v>800</v>
      </c>
      <c r="C33" s="2545"/>
      <c r="D33" s="395"/>
      <c r="E33" s="2555" t="s">
        <v>2153</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389"/>
      <c r="AL33" s="389"/>
      <c r="AM33" s="389"/>
      <c r="AN33" s="384"/>
      <c r="AO33" s="398"/>
    </row>
    <row r="34" spans="1:41" s="385" customFormat="1" ht="12.75" customHeight="1">
      <c r="A34" s="389"/>
      <c r="B34" s="389"/>
      <c r="C34" s="389"/>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389"/>
      <c r="AL34" s="389"/>
      <c r="AM34" s="389"/>
      <c r="AN34" s="384"/>
    </row>
    <row r="35" spans="1:41" s="385" customFormat="1" ht="12.75" customHeight="1">
      <c r="A35" s="389"/>
      <c r="B35" s="389"/>
      <c r="C35" s="389"/>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6"/>
      <c r="AG35" s="1116"/>
      <c r="AH35" s="1116"/>
      <c r="AI35" s="1116"/>
      <c r="AJ35" s="1116"/>
      <c r="AK35" s="389"/>
      <c r="AL35" s="389"/>
      <c r="AM35" s="389"/>
      <c r="AN35" s="384"/>
    </row>
    <row r="36" spans="1:41" s="385" customFormat="1" ht="12.75" customHeight="1">
      <c r="A36" s="389"/>
      <c r="B36" s="2545" t="s">
        <v>800</v>
      </c>
      <c r="C36" s="2545"/>
      <c r="D36" s="395"/>
      <c r="E36" s="2472" t="s">
        <v>2154</v>
      </c>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4"/>
      <c r="AK36" s="389"/>
      <c r="AL36" s="389"/>
      <c r="AM36" s="389"/>
      <c r="AN36" s="384"/>
    </row>
    <row r="37" spans="1:41" s="385" customFormat="1" ht="12.75" customHeight="1">
      <c r="A37" s="389"/>
      <c r="B37" s="389"/>
      <c r="C37" s="389"/>
      <c r="E37" s="2475"/>
      <c r="F37" s="2476"/>
      <c r="G37" s="2476"/>
      <c r="H37" s="2476"/>
      <c r="I37" s="2476"/>
      <c r="J37" s="2476"/>
      <c r="K37" s="2476"/>
      <c r="L37" s="2476"/>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7"/>
      <c r="AK37" s="389"/>
      <c r="AL37" s="389"/>
      <c r="AM37" s="389"/>
      <c r="AN37" s="384"/>
    </row>
    <row r="38" spans="1:41" s="385" customFormat="1" ht="12.75" customHeight="1">
      <c r="A38" s="389"/>
      <c r="B38" s="389"/>
      <c r="C38" s="389"/>
      <c r="E38" s="2497"/>
      <c r="F38" s="2498"/>
      <c r="G38" s="2498"/>
      <c r="H38" s="2498"/>
      <c r="I38" s="2498"/>
      <c r="J38" s="2498"/>
      <c r="K38" s="2498"/>
      <c r="L38" s="2498"/>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9"/>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0</v>
      </c>
    </row>
    <row r="40" spans="1:41" s="385" customFormat="1" ht="12.75" customHeight="1">
      <c r="A40" s="389"/>
      <c r="B40" s="2545" t="s">
        <v>800</v>
      </c>
      <c r="C40" s="2545"/>
      <c r="D40" s="395"/>
      <c r="E40" s="2472" t="s">
        <v>2155</v>
      </c>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2473"/>
      <c r="AF40" s="2473"/>
      <c r="AG40" s="2473"/>
      <c r="AH40" s="2473"/>
      <c r="AI40" s="2473"/>
      <c r="AJ40" s="2474"/>
      <c r="AK40" s="389"/>
      <c r="AL40" s="389"/>
      <c r="AM40" s="389"/>
      <c r="AN40" s="384"/>
    </row>
    <row r="41" spans="1:41" s="385" customFormat="1" ht="12.75" customHeight="1">
      <c r="A41" s="389"/>
      <c r="B41" s="389"/>
      <c r="C41" s="389"/>
      <c r="E41" s="2497"/>
      <c r="F41" s="2498"/>
      <c r="G41" s="2498"/>
      <c r="H41" s="2498"/>
      <c r="I41" s="2498"/>
      <c r="J41" s="2498"/>
      <c r="K41" s="2498"/>
      <c r="L41" s="2498"/>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9"/>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0</v>
      </c>
    </row>
    <row r="43" spans="1:41" s="385" customFormat="1" ht="12.75" customHeight="1">
      <c r="A43" s="389"/>
      <c r="C43" s="392" t="s">
        <v>2156</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2"/>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389"/>
      <c r="AM44" s="389"/>
      <c r="AN44" s="384"/>
    </row>
    <row r="45" spans="1:41" s="385" customFormat="1" ht="12.75" customHeight="1">
      <c r="A45" s="389"/>
      <c r="B45" s="2545" t="s">
        <v>800</v>
      </c>
      <c r="C45" s="2545"/>
      <c r="D45" s="922"/>
      <c r="E45" s="2472" t="s">
        <v>2157</v>
      </c>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E45" s="2473"/>
      <c r="AF45" s="2473"/>
      <c r="AG45" s="2473"/>
      <c r="AH45" s="2473"/>
      <c r="AI45" s="2473"/>
      <c r="AJ45" s="2474"/>
      <c r="AK45" s="922"/>
      <c r="AL45" s="389"/>
      <c r="AM45" s="389"/>
      <c r="AN45" s="384"/>
    </row>
    <row r="46" spans="1:41" s="385" customFormat="1" ht="12.75" customHeight="1">
      <c r="A46" s="389"/>
      <c r="B46" s="389"/>
      <c r="C46" s="389"/>
      <c r="E46" s="2475"/>
      <c r="F46" s="2476"/>
      <c r="G46" s="2476"/>
      <c r="H46" s="2476"/>
      <c r="I46" s="2476"/>
      <c r="J46" s="2476"/>
      <c r="K46" s="2476"/>
      <c r="L46" s="2476"/>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7"/>
      <c r="AK46" s="389"/>
      <c r="AL46" s="389"/>
      <c r="AM46" s="389"/>
      <c r="AN46" s="384"/>
    </row>
    <row r="47" spans="1:41" s="385" customFormat="1" ht="12.75" customHeight="1">
      <c r="A47" s="389"/>
      <c r="D47" s="395"/>
      <c r="E47" s="2497"/>
      <c r="F47" s="2498"/>
      <c r="G47" s="2498"/>
      <c r="H47" s="2498"/>
      <c r="I47" s="2498"/>
      <c r="J47" s="2498"/>
      <c r="K47" s="2498"/>
      <c r="L47" s="2498"/>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9"/>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2158</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1" t="s">
        <v>2159</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545" t="s">
        <v>800</v>
      </c>
      <c r="C52" s="2545"/>
      <c r="D52" s="389"/>
      <c r="E52" s="2472" t="s">
        <v>2160</v>
      </c>
      <c r="F52" s="2473"/>
      <c r="G52" s="2473"/>
      <c r="H52" s="2473"/>
      <c r="I52" s="2473"/>
      <c r="J52" s="2473"/>
      <c r="K52" s="2473"/>
      <c r="L52" s="2473"/>
      <c r="M52" s="2473"/>
      <c r="N52" s="2473"/>
      <c r="O52" s="2473"/>
      <c r="P52" s="2473"/>
      <c r="Q52" s="2473"/>
      <c r="R52" s="2473"/>
      <c r="S52" s="2473"/>
      <c r="T52" s="2473"/>
      <c r="U52" s="2473"/>
      <c r="V52" s="2473"/>
      <c r="W52" s="2473"/>
      <c r="X52" s="2473"/>
      <c r="Y52" s="2473"/>
      <c r="Z52" s="2473"/>
      <c r="AA52" s="2473"/>
      <c r="AB52" s="2473"/>
      <c r="AC52" s="2473"/>
      <c r="AD52" s="2473"/>
      <c r="AE52" s="2473"/>
      <c r="AF52" s="2473"/>
      <c r="AG52" s="2473"/>
      <c r="AH52" s="2473"/>
      <c r="AI52" s="2473"/>
      <c r="AJ52" s="2474"/>
      <c r="AK52" s="389"/>
      <c r="AL52" s="389"/>
      <c r="AM52" s="389"/>
      <c r="AN52" s="384"/>
      <c r="AO52" s="405"/>
    </row>
    <row r="53" spans="1:50" s="385" customFormat="1" ht="12.75" customHeight="1">
      <c r="A53" s="389"/>
      <c r="D53" s="395"/>
      <c r="E53" s="2475"/>
      <c r="F53" s="2476"/>
      <c r="G53" s="2476"/>
      <c r="H53" s="2476"/>
      <c r="I53" s="2476"/>
      <c r="J53" s="2476"/>
      <c r="K53" s="2476"/>
      <c r="L53" s="2476"/>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7"/>
      <c r="AK53" s="389"/>
      <c r="AL53" s="389"/>
      <c r="AM53" s="389"/>
      <c r="AN53" s="384"/>
      <c r="AO53" s="405"/>
    </row>
    <row r="54" spans="1:50" s="385" customFormat="1" ht="12.75" customHeight="1">
      <c r="A54" s="389"/>
      <c r="D54" s="389"/>
      <c r="E54" s="2497"/>
      <c r="F54" s="2498"/>
      <c r="G54" s="2498"/>
      <c r="H54" s="2498"/>
      <c r="I54" s="2498"/>
      <c r="J54" s="2498"/>
      <c r="K54" s="2498"/>
      <c r="L54" s="2498"/>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9"/>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545" t="s">
        <v>800</v>
      </c>
      <c r="C56" s="2545"/>
      <c r="D56" s="389"/>
      <c r="E56" s="2571" t="s">
        <v>2161</v>
      </c>
      <c r="F56" s="2572"/>
      <c r="G56" s="2572"/>
      <c r="H56" s="2572"/>
      <c r="I56" s="2572"/>
      <c r="J56" s="2572"/>
      <c r="K56" s="2572"/>
      <c r="L56" s="2572"/>
      <c r="M56" s="2572"/>
      <c r="N56" s="2572"/>
      <c r="O56" s="2572"/>
      <c r="P56" s="2572"/>
      <c r="Q56" s="2572"/>
      <c r="R56" s="2572"/>
      <c r="S56" s="2572"/>
      <c r="T56" s="2572"/>
      <c r="U56" s="2572"/>
      <c r="V56" s="2572"/>
      <c r="W56" s="2572"/>
      <c r="X56" s="2572"/>
      <c r="Y56" s="2572"/>
      <c r="Z56" s="2572"/>
      <c r="AA56" s="2572"/>
      <c r="AB56" s="2572"/>
      <c r="AC56" s="2572"/>
      <c r="AD56" s="2572"/>
      <c r="AE56" s="2572"/>
      <c r="AF56" s="2572"/>
      <c r="AG56" s="2572"/>
      <c r="AH56" s="2572"/>
      <c r="AI56" s="2572"/>
      <c r="AJ56" s="2573"/>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545" t="s">
        <v>800</v>
      </c>
      <c r="C58" s="2545"/>
      <c r="D58" s="389"/>
      <c r="E58" s="2472" t="s">
        <v>2162</v>
      </c>
      <c r="F58" s="2473"/>
      <c r="G58" s="2473"/>
      <c r="H58" s="2473"/>
      <c r="I58" s="2473"/>
      <c r="J58" s="2473"/>
      <c r="K58" s="2473"/>
      <c r="L58" s="2473"/>
      <c r="M58" s="2473"/>
      <c r="N58" s="2473"/>
      <c r="O58" s="2473"/>
      <c r="P58" s="2473"/>
      <c r="Q58" s="2473"/>
      <c r="R58" s="2473"/>
      <c r="S58" s="2473"/>
      <c r="T58" s="2473"/>
      <c r="U58" s="2473"/>
      <c r="V58" s="2473"/>
      <c r="W58" s="2473"/>
      <c r="X58" s="2473"/>
      <c r="Y58" s="2473"/>
      <c r="Z58" s="2473"/>
      <c r="AA58" s="2473"/>
      <c r="AB58" s="2473"/>
      <c r="AC58" s="2473"/>
      <c r="AD58" s="2473"/>
      <c r="AE58" s="2473"/>
      <c r="AF58" s="2473"/>
      <c r="AG58" s="2473"/>
      <c r="AH58" s="2473"/>
      <c r="AI58" s="2473"/>
      <c r="AJ58" s="2474"/>
      <c r="AK58" s="389"/>
      <c r="AL58" s="389"/>
      <c r="AM58" s="389"/>
      <c r="AN58" s="384"/>
    </row>
    <row r="59" spans="1:50" s="385" customFormat="1" ht="12.75" customHeight="1">
      <c r="A59" s="389"/>
      <c r="B59" s="395"/>
      <c r="C59" s="395"/>
      <c r="D59" s="395"/>
      <c r="E59" s="2497"/>
      <c r="F59" s="2498"/>
      <c r="G59" s="2498"/>
      <c r="H59" s="2498"/>
      <c r="I59" s="2498"/>
      <c r="J59" s="2498"/>
      <c r="K59" s="2498"/>
      <c r="L59" s="2498"/>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9"/>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2163</v>
      </c>
      <c r="AK62" s="2518">
        <f>AO39</f>
        <v>0</v>
      </c>
      <c r="AL62" s="2519"/>
      <c r="AM62" s="2520"/>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132"/>
      <c r="J64" s="1132"/>
      <c r="K64" s="1132"/>
      <c r="L64" s="1132"/>
      <c r="M64" s="1132"/>
      <c r="N64" s="1132"/>
      <c r="O64" s="1132"/>
      <c r="P64" s="1132"/>
      <c r="Q64" s="1132"/>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2164</v>
      </c>
      <c r="B65" s="388" t="s">
        <v>619</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2392" t="s">
        <v>2165</v>
      </c>
      <c r="AF65" s="2392"/>
      <c r="AG65" s="2392"/>
      <c r="AH65" s="2392"/>
      <c r="AI65" s="2392"/>
      <c r="AJ65" s="2392"/>
      <c r="AK65" s="2392"/>
      <c r="AL65" s="389"/>
      <c r="AM65" s="389"/>
      <c r="AN65" s="384"/>
    </row>
    <row r="66" spans="1:42" s="385" customFormat="1" ht="12.75" customHeight="1">
      <c r="A66" s="387"/>
      <c r="B66" s="388" t="s">
        <v>2166</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12"/>
      <c r="AF66" s="1112"/>
      <c r="AG66" s="1112"/>
      <c r="AH66" s="1112"/>
      <c r="AI66" s="1112"/>
      <c r="AJ66" s="1112"/>
      <c r="AK66" s="1112"/>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112"/>
      <c r="AF67" s="1112"/>
      <c r="AG67" s="1112"/>
      <c r="AH67" s="1112"/>
      <c r="AI67" s="1112"/>
      <c r="AJ67" s="1112"/>
      <c r="AK67" s="1112"/>
      <c r="AL67" s="389"/>
      <c r="AM67" s="389"/>
      <c r="AN67" s="384"/>
    </row>
    <row r="68" spans="1:42" s="385" customFormat="1" ht="12.75" customHeight="1">
      <c r="A68" s="387"/>
      <c r="B68" s="2545" t="s">
        <v>847</v>
      </c>
      <c r="C68" s="2545"/>
      <c r="D68" s="395" t="s">
        <v>2167</v>
      </c>
      <c r="E68" s="2537" t="s">
        <v>2168</v>
      </c>
      <c r="F68" s="2538"/>
      <c r="G68" s="2538"/>
      <c r="H68" s="2538"/>
      <c r="I68" s="2538"/>
      <c r="J68" s="2538"/>
      <c r="K68" s="2538"/>
      <c r="L68" s="2538"/>
      <c r="M68" s="2538"/>
      <c r="N68" s="2538"/>
      <c r="O68" s="2538"/>
      <c r="P68" s="2538"/>
      <c r="Q68" s="2538"/>
      <c r="R68" s="2538"/>
      <c r="S68" s="2538"/>
      <c r="T68" s="2538"/>
      <c r="U68" s="2538"/>
      <c r="V68" s="2538"/>
      <c r="W68" s="2538"/>
      <c r="X68" s="2538"/>
      <c r="Y68" s="2538"/>
      <c r="Z68" s="2538"/>
      <c r="AA68" s="2538"/>
      <c r="AB68" s="2538"/>
      <c r="AC68" s="2538"/>
      <c r="AD68" s="2538"/>
      <c r="AE68" s="2538"/>
      <c r="AF68" s="2538"/>
      <c r="AG68" s="2538"/>
      <c r="AH68" s="2538"/>
      <c r="AI68" s="2538"/>
      <c r="AJ68" s="2539"/>
      <c r="AK68" s="1112"/>
      <c r="AL68" s="389"/>
      <c r="AM68" s="389"/>
      <c r="AN68" s="384"/>
      <c r="AO68" s="398">
        <f>IF($B68="yes",10,0)</f>
        <v>10</v>
      </c>
    </row>
    <row r="69" spans="1:42" s="385" customFormat="1" ht="12.75" customHeight="1">
      <c r="A69" s="387"/>
      <c r="B69" s="389"/>
      <c r="C69" s="389"/>
      <c r="D69" s="399"/>
      <c r="E69" s="2540"/>
      <c r="F69" s="2541"/>
      <c r="G69" s="2541"/>
      <c r="H69" s="2541"/>
      <c r="I69" s="2541"/>
      <c r="J69" s="2541"/>
      <c r="K69" s="2541"/>
      <c r="L69" s="2541"/>
      <c r="M69" s="2541"/>
      <c r="N69" s="2541"/>
      <c r="O69" s="2541"/>
      <c r="P69" s="2541"/>
      <c r="Q69" s="2541"/>
      <c r="R69" s="2541"/>
      <c r="S69" s="2541"/>
      <c r="T69" s="2541"/>
      <c r="U69" s="2541"/>
      <c r="V69" s="2541"/>
      <c r="W69" s="2541"/>
      <c r="X69" s="2541"/>
      <c r="Y69" s="2541"/>
      <c r="Z69" s="2541"/>
      <c r="AA69" s="2541"/>
      <c r="AB69" s="2541"/>
      <c r="AC69" s="2541"/>
      <c r="AD69" s="2541"/>
      <c r="AE69" s="2541"/>
      <c r="AF69" s="2541"/>
      <c r="AG69" s="2541"/>
      <c r="AH69" s="2541"/>
      <c r="AI69" s="2541"/>
      <c r="AJ69" s="2542"/>
      <c r="AK69" s="1112"/>
      <c r="AL69" s="389"/>
      <c r="AM69" s="389"/>
      <c r="AN69" s="384"/>
      <c r="AO69" s="398">
        <f>IF($B74="yes",10,0)</f>
        <v>0</v>
      </c>
    </row>
    <row r="70" spans="1:42" s="385" customFormat="1" ht="12.75" customHeight="1">
      <c r="A70" s="387"/>
      <c r="B70" s="389"/>
      <c r="C70" s="389"/>
      <c r="D70" s="399"/>
      <c r="E70" s="2540"/>
      <c r="F70" s="2541"/>
      <c r="G70" s="2541"/>
      <c r="H70" s="2541"/>
      <c r="I70" s="2541"/>
      <c r="J70" s="2541"/>
      <c r="K70" s="2541"/>
      <c r="L70" s="2541"/>
      <c r="M70" s="2541"/>
      <c r="N70" s="2541"/>
      <c r="O70" s="2541"/>
      <c r="P70" s="2541"/>
      <c r="Q70" s="2541"/>
      <c r="R70" s="2541"/>
      <c r="S70" s="2541"/>
      <c r="T70" s="2541"/>
      <c r="U70" s="2541"/>
      <c r="V70" s="2541"/>
      <c r="W70" s="2541"/>
      <c r="X70" s="2541"/>
      <c r="Y70" s="2541"/>
      <c r="Z70" s="2541"/>
      <c r="AA70" s="2541"/>
      <c r="AB70" s="2541"/>
      <c r="AC70" s="2541"/>
      <c r="AD70" s="2541"/>
      <c r="AE70" s="2541"/>
      <c r="AF70" s="2541"/>
      <c r="AG70" s="2541"/>
      <c r="AH70" s="2541"/>
      <c r="AI70" s="2541"/>
      <c r="AJ70" s="2542"/>
      <c r="AK70" s="1112"/>
      <c r="AL70" s="389"/>
      <c r="AM70" s="389"/>
      <c r="AN70" s="384"/>
      <c r="AO70" s="398">
        <f>IF($B81="yes",10,0)</f>
        <v>0</v>
      </c>
    </row>
    <row r="71" spans="1:42" s="385" customFormat="1" ht="12.75" customHeight="1">
      <c r="A71" s="387"/>
      <c r="B71" s="389"/>
      <c r="C71" s="389"/>
      <c r="D71" s="399"/>
      <c r="E71" s="2540"/>
      <c r="F71" s="2541"/>
      <c r="G71" s="2541"/>
      <c r="H71" s="2541"/>
      <c r="I71" s="2541"/>
      <c r="J71" s="2541"/>
      <c r="K71" s="2541"/>
      <c r="L71" s="2541"/>
      <c r="M71" s="2541"/>
      <c r="N71" s="2541"/>
      <c r="O71" s="2541"/>
      <c r="P71" s="2541"/>
      <c r="Q71" s="2541"/>
      <c r="R71" s="2541"/>
      <c r="S71" s="2541"/>
      <c r="T71" s="2541"/>
      <c r="U71" s="2541"/>
      <c r="V71" s="2541"/>
      <c r="W71" s="2541"/>
      <c r="X71" s="2541"/>
      <c r="Y71" s="2541"/>
      <c r="Z71" s="2541"/>
      <c r="AA71" s="2541"/>
      <c r="AB71" s="2541"/>
      <c r="AC71" s="2541"/>
      <c r="AD71" s="2541"/>
      <c r="AE71" s="2541"/>
      <c r="AF71" s="2541"/>
      <c r="AG71" s="2541"/>
      <c r="AH71" s="2541"/>
      <c r="AI71" s="2541"/>
      <c r="AJ71" s="2542"/>
      <c r="AK71" s="1112"/>
      <c r="AL71" s="389"/>
      <c r="AM71" s="389"/>
      <c r="AN71" s="384"/>
      <c r="AO71" s="385">
        <f>IF(SUM(AO68:AO70)&gt;10,10,(SUM(AO68:AO70)))</f>
        <v>10</v>
      </c>
      <c r="AP71" s="419" t="s">
        <v>2169</v>
      </c>
    </row>
    <row r="72" spans="1:42" s="385" customFormat="1" ht="12.75" customHeight="1">
      <c r="A72" s="387"/>
      <c r="B72" s="389"/>
      <c r="C72" s="389"/>
      <c r="D72" s="399"/>
      <c r="E72" s="2567"/>
      <c r="F72" s="2568"/>
      <c r="G72" s="2568"/>
      <c r="H72" s="2568"/>
      <c r="I72" s="2568"/>
      <c r="J72" s="2568"/>
      <c r="K72" s="2568"/>
      <c r="L72" s="2568"/>
      <c r="M72" s="2568"/>
      <c r="N72" s="2568"/>
      <c r="O72" s="2568"/>
      <c r="P72" s="2568"/>
      <c r="Q72" s="2568"/>
      <c r="R72" s="2568"/>
      <c r="S72" s="2568"/>
      <c r="T72" s="2568"/>
      <c r="U72" s="2568"/>
      <c r="V72" s="2568"/>
      <c r="W72" s="2568"/>
      <c r="X72" s="2568"/>
      <c r="Y72" s="2568"/>
      <c r="Z72" s="2568"/>
      <c r="AA72" s="2568"/>
      <c r="AB72" s="2568"/>
      <c r="AC72" s="2568"/>
      <c r="AD72" s="2568"/>
      <c r="AE72" s="2568"/>
      <c r="AF72" s="2568"/>
      <c r="AG72" s="2568"/>
      <c r="AH72" s="2568"/>
      <c r="AI72" s="2568"/>
      <c r="AJ72" s="2569"/>
      <c r="AK72" s="1112"/>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112"/>
      <c r="AL73" s="389"/>
      <c r="AM73" s="389"/>
      <c r="AN73" s="384"/>
    </row>
    <row r="74" spans="1:42" s="385" customFormat="1" ht="12.75" customHeight="1">
      <c r="A74" s="387"/>
      <c r="B74" s="2545" t="s">
        <v>800</v>
      </c>
      <c r="C74" s="2545"/>
      <c r="D74" s="395" t="s">
        <v>2170</v>
      </c>
      <c r="E74" s="768" t="s">
        <v>2171</v>
      </c>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70"/>
      <c r="AK74" s="1112"/>
      <c r="AL74" s="389"/>
      <c r="AM74" s="389"/>
      <c r="AN74" s="384"/>
    </row>
    <row r="75" spans="1:42" s="385" customFormat="1" ht="12.75" customHeight="1">
      <c r="A75" s="387"/>
      <c r="B75" s="389"/>
      <c r="C75" s="389"/>
      <c r="D75" s="398"/>
      <c r="E75" s="2570" t="s">
        <v>800</v>
      </c>
      <c r="F75" s="2545"/>
      <c r="G75" s="420"/>
      <c r="H75" s="404" t="s">
        <v>2172</v>
      </c>
      <c r="I75" s="1111"/>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1"/>
      <c r="AK75" s="1112"/>
      <c r="AL75" s="389"/>
      <c r="AM75" s="389"/>
      <c r="AN75" s="384"/>
    </row>
    <row r="76" spans="1:42" s="385" customFormat="1" ht="12.75" customHeight="1">
      <c r="A76" s="387"/>
      <c r="B76" s="389"/>
      <c r="C76" s="389"/>
      <c r="D76" s="398"/>
      <c r="E76" s="2565" t="s">
        <v>800</v>
      </c>
      <c r="F76" s="2566"/>
      <c r="G76" s="420"/>
      <c r="H76" s="404" t="s">
        <v>2173</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1"/>
      <c r="AK76" s="1112"/>
      <c r="AL76" s="389"/>
      <c r="AM76" s="389"/>
      <c r="AN76" s="384"/>
    </row>
    <row r="77" spans="1:42" s="385" customFormat="1" ht="12.75" customHeight="1">
      <c r="A77" s="387"/>
      <c r="B77" s="389"/>
      <c r="C77" s="389"/>
      <c r="D77" s="398"/>
      <c r="E77" s="2565" t="s">
        <v>800</v>
      </c>
      <c r="F77" s="2566"/>
      <c r="G77" s="420"/>
      <c r="H77" s="404" t="s">
        <v>2174</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1"/>
      <c r="AK77" s="1112"/>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1"/>
      <c r="AK78" s="1112"/>
      <c r="AL78" s="389"/>
      <c r="AM78" s="389"/>
      <c r="AN78" s="384"/>
    </row>
    <row r="79" spans="1:42" s="385" customFormat="1" ht="12.75" customHeight="1">
      <c r="A79" s="387"/>
      <c r="B79" s="389"/>
      <c r="C79" s="389"/>
      <c r="D79" s="398"/>
      <c r="E79" s="2570" t="s">
        <v>800</v>
      </c>
      <c r="F79" s="2545"/>
      <c r="G79" s="1116"/>
      <c r="H79" s="773" t="s">
        <v>2175</v>
      </c>
      <c r="I79" s="1116"/>
      <c r="J79" s="1116"/>
      <c r="K79" s="1116"/>
      <c r="L79" s="1116"/>
      <c r="M79" s="1116"/>
      <c r="N79" s="1116"/>
      <c r="O79" s="1116"/>
      <c r="P79" s="1116"/>
      <c r="Q79" s="1116"/>
      <c r="R79" s="1116"/>
      <c r="S79" s="1116"/>
      <c r="T79" s="1116"/>
      <c r="U79" s="1116"/>
      <c r="V79" s="1116"/>
      <c r="W79" s="1116"/>
      <c r="X79" s="1116"/>
      <c r="Y79" s="1116"/>
      <c r="Z79" s="1116"/>
      <c r="AA79" s="1116"/>
      <c r="AB79" s="1116"/>
      <c r="AC79" s="1116"/>
      <c r="AD79" s="1116"/>
      <c r="AE79" s="1116"/>
      <c r="AF79" s="1116"/>
      <c r="AG79" s="1116"/>
      <c r="AH79" s="1116"/>
      <c r="AI79" s="1116"/>
      <c r="AJ79" s="1117"/>
      <c r="AK79" s="1112"/>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112"/>
      <c r="AL80" s="389"/>
      <c r="AM80" s="389"/>
      <c r="AN80" s="384"/>
    </row>
    <row r="81" spans="1:43" s="385" customFormat="1" ht="12.75" customHeight="1">
      <c r="A81" s="387"/>
      <c r="B81" s="2545" t="s">
        <v>800</v>
      </c>
      <c r="C81" s="2545"/>
      <c r="D81" s="395" t="s">
        <v>2176</v>
      </c>
      <c r="E81" s="2472" t="s">
        <v>2177</v>
      </c>
      <c r="F81" s="2473"/>
      <c r="G81" s="2473"/>
      <c r="H81" s="2473"/>
      <c r="I81" s="2473"/>
      <c r="J81" s="2473"/>
      <c r="K81" s="2473"/>
      <c r="L81" s="2473"/>
      <c r="M81" s="2473"/>
      <c r="N81" s="2473"/>
      <c r="O81" s="2473"/>
      <c r="P81" s="2473"/>
      <c r="Q81" s="2473"/>
      <c r="R81" s="2473"/>
      <c r="S81" s="2473"/>
      <c r="T81" s="2473"/>
      <c r="U81" s="2473"/>
      <c r="V81" s="2473"/>
      <c r="W81" s="2473"/>
      <c r="X81" s="2473"/>
      <c r="Y81" s="2473"/>
      <c r="Z81" s="2473"/>
      <c r="AA81" s="2473"/>
      <c r="AB81" s="2473"/>
      <c r="AC81" s="2473"/>
      <c r="AD81" s="2473"/>
      <c r="AE81" s="2473"/>
      <c r="AF81" s="2473"/>
      <c r="AG81" s="2473"/>
      <c r="AH81" s="2473"/>
      <c r="AI81" s="2473"/>
      <c r="AJ81" s="2474"/>
      <c r="AK81" s="1112"/>
      <c r="AL81" s="389"/>
      <c r="AM81" s="389"/>
      <c r="AN81" s="384"/>
    </row>
    <row r="82" spans="1:43" s="385" customFormat="1" ht="12.75" customHeight="1">
      <c r="A82" s="387"/>
      <c r="B82" s="389"/>
      <c r="C82" s="389"/>
      <c r="D82" s="398"/>
      <c r="E82" s="2497"/>
      <c r="F82" s="2498"/>
      <c r="G82" s="2498"/>
      <c r="H82" s="2498"/>
      <c r="I82" s="2498"/>
      <c r="J82" s="2498"/>
      <c r="K82" s="2498"/>
      <c r="L82" s="2498"/>
      <c r="M82" s="2498"/>
      <c r="N82" s="2498"/>
      <c r="O82" s="2498"/>
      <c r="P82" s="2498"/>
      <c r="Q82" s="2498"/>
      <c r="R82" s="2498"/>
      <c r="S82" s="2498"/>
      <c r="T82" s="2498"/>
      <c r="U82" s="2498"/>
      <c r="V82" s="2498"/>
      <c r="W82" s="2498"/>
      <c r="X82" s="2498"/>
      <c r="Y82" s="2498"/>
      <c r="Z82" s="2498"/>
      <c r="AA82" s="2498"/>
      <c r="AB82" s="2498"/>
      <c r="AC82" s="2498"/>
      <c r="AD82" s="2498"/>
      <c r="AE82" s="2498"/>
      <c r="AF82" s="2498"/>
      <c r="AG82" s="2498"/>
      <c r="AH82" s="2498"/>
      <c r="AI82" s="2498"/>
      <c r="AJ82" s="2499"/>
      <c r="AK82" s="1112"/>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112"/>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2178</v>
      </c>
      <c r="AK84" s="2518">
        <f>IF(AK62&gt;0,0,AO71)</f>
        <v>10</v>
      </c>
      <c r="AL84" s="2519"/>
      <c r="AM84" s="2520"/>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132"/>
      <c r="J86" s="1132"/>
      <c r="K86" s="1132"/>
      <c r="L86" s="1132"/>
      <c r="M86" s="1132"/>
      <c r="N86" s="1132"/>
      <c r="O86" s="1132"/>
      <c r="P86" s="1132"/>
      <c r="Q86" s="1132"/>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2179</v>
      </c>
      <c r="B87" s="388" t="s">
        <v>2180</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2392" t="s">
        <v>2141</v>
      </c>
      <c r="AF87" s="2392"/>
      <c r="AG87" s="2392"/>
      <c r="AH87" s="2392"/>
      <c r="AI87" s="2392"/>
      <c r="AJ87" s="2392"/>
      <c r="AK87" s="2392"/>
      <c r="AL87" s="389"/>
      <c r="AM87" s="389"/>
      <c r="AN87" s="384"/>
    </row>
    <row r="88" spans="1:43" s="385" customFormat="1" ht="12.75" customHeight="1">
      <c r="A88" s="387"/>
      <c r="B88" s="388" t="s">
        <v>2181</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12"/>
      <c r="AF88" s="1112"/>
      <c r="AG88" s="1112"/>
      <c r="AH88" s="1112"/>
      <c r="AI88" s="1112"/>
      <c r="AJ88" s="1112"/>
      <c r="AK88" s="1112"/>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112"/>
      <c r="AF89" s="1112"/>
      <c r="AG89" s="1112"/>
      <c r="AH89" s="1112"/>
      <c r="AI89" s="1112"/>
      <c r="AJ89" s="1112"/>
      <c r="AK89" s="1112"/>
      <c r="AL89" s="389"/>
      <c r="AM89" s="389"/>
      <c r="AN89" s="384"/>
    </row>
    <row r="90" spans="1:43" s="385" customFormat="1" ht="12.75" customHeight="1">
      <c r="A90" s="387"/>
      <c r="B90" s="2545" t="s">
        <v>847</v>
      </c>
      <c r="C90" s="2545"/>
      <c r="D90" s="395" t="s">
        <v>2167</v>
      </c>
      <c r="E90" s="2537" t="s">
        <v>2182</v>
      </c>
      <c r="F90" s="2538"/>
      <c r="G90" s="2538"/>
      <c r="H90" s="2538"/>
      <c r="I90" s="2538"/>
      <c r="J90" s="2538"/>
      <c r="K90" s="2538"/>
      <c r="L90" s="2538"/>
      <c r="M90" s="2538"/>
      <c r="N90" s="2538"/>
      <c r="O90" s="2538"/>
      <c r="P90" s="2538"/>
      <c r="Q90" s="2538"/>
      <c r="R90" s="2538"/>
      <c r="S90" s="2538"/>
      <c r="T90" s="2538"/>
      <c r="U90" s="2538"/>
      <c r="V90" s="2538"/>
      <c r="W90" s="2538"/>
      <c r="X90" s="2538"/>
      <c r="Y90" s="2538"/>
      <c r="Z90" s="2538"/>
      <c r="AA90" s="2538"/>
      <c r="AB90" s="2538"/>
      <c r="AC90" s="2538"/>
      <c r="AD90" s="2538"/>
      <c r="AE90" s="2538"/>
      <c r="AF90" s="2538"/>
      <c r="AG90" s="2538"/>
      <c r="AH90" s="2538"/>
      <c r="AI90" s="2538"/>
      <c r="AJ90" s="2539"/>
      <c r="AK90" s="1112"/>
      <c r="AL90" s="389"/>
      <c r="AM90" s="389"/>
      <c r="AN90" s="384"/>
    </row>
    <row r="91" spans="1:43" s="385" customFormat="1" ht="12.75" customHeight="1">
      <c r="A91" s="387"/>
      <c r="B91" s="388"/>
      <c r="C91" s="388"/>
      <c r="D91" s="388"/>
      <c r="E91" s="2540"/>
      <c r="F91" s="2541"/>
      <c r="G91" s="2541"/>
      <c r="H91" s="2541"/>
      <c r="I91" s="2541"/>
      <c r="J91" s="2541"/>
      <c r="K91" s="2541"/>
      <c r="L91" s="2541"/>
      <c r="M91" s="2541"/>
      <c r="N91" s="2541"/>
      <c r="O91" s="2541"/>
      <c r="P91" s="2541"/>
      <c r="Q91" s="2541"/>
      <c r="R91" s="2541"/>
      <c r="S91" s="2541"/>
      <c r="T91" s="2541"/>
      <c r="U91" s="2541"/>
      <c r="V91" s="2541"/>
      <c r="W91" s="2541"/>
      <c r="X91" s="2541"/>
      <c r="Y91" s="2541"/>
      <c r="Z91" s="2541"/>
      <c r="AA91" s="2541"/>
      <c r="AB91" s="2541"/>
      <c r="AC91" s="2541"/>
      <c r="AD91" s="2541"/>
      <c r="AE91" s="2541"/>
      <c r="AF91" s="2541"/>
      <c r="AG91" s="2541"/>
      <c r="AH91" s="2541"/>
      <c r="AI91" s="2541"/>
      <c r="AJ91" s="2542"/>
      <c r="AK91" s="1112"/>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112"/>
      <c r="AL92" s="389"/>
      <c r="AM92" s="389"/>
      <c r="AN92" s="384"/>
    </row>
    <row r="93" spans="1:43" s="385" customFormat="1" ht="12.75" customHeight="1">
      <c r="A93" s="387"/>
      <c r="B93" s="388"/>
      <c r="C93" s="388"/>
      <c r="D93" s="388"/>
      <c r="E93" s="2533">
        <f>Application!AC753</f>
        <v>0.48607594936708859</v>
      </c>
      <c r="F93" s="2534"/>
      <c r="G93" s="2534"/>
      <c r="H93" s="2534"/>
      <c r="I93" s="422"/>
      <c r="J93" s="425" t="s">
        <v>2183</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112"/>
      <c r="AL93" s="389"/>
      <c r="AM93" s="389"/>
      <c r="AN93" s="384"/>
    </row>
    <row r="94" spans="1:43" s="385" customFormat="1" ht="12.75" customHeight="1">
      <c r="A94" s="387"/>
      <c r="B94" s="388"/>
      <c r="C94" s="388"/>
      <c r="D94" s="388"/>
      <c r="E94" s="2564">
        <f>0.6-ROUNDUP(E93,2)</f>
        <v>0.10999999999999999</v>
      </c>
      <c r="F94" s="2339"/>
      <c r="G94" s="2339"/>
      <c r="H94" s="2339"/>
      <c r="I94" s="422"/>
      <c r="J94" s="425" t="s">
        <v>2184</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112"/>
      <c r="AL94" s="389"/>
      <c r="AM94" s="389"/>
      <c r="AN94" s="384"/>
    </row>
    <row r="95" spans="1:43" s="385" customFormat="1" ht="12.75" customHeight="1">
      <c r="A95" s="387"/>
      <c r="B95" s="388"/>
      <c r="C95" s="388"/>
      <c r="D95" s="388"/>
      <c r="E95" s="2549">
        <f>IF(E94*200&gt;20,20,E94*200)</f>
        <v>20</v>
      </c>
      <c r="F95" s="2550"/>
      <c r="G95" s="2550"/>
      <c r="H95" s="2550"/>
      <c r="I95" s="422"/>
      <c r="J95" s="425" t="s">
        <v>2185</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112"/>
      <c r="AL95" s="389"/>
      <c r="AM95" s="389"/>
      <c r="AN95" s="384"/>
      <c r="AP95" s="385">
        <f>IF(B90="yes",E95,0)</f>
        <v>20</v>
      </c>
      <c r="AQ95" s="385" t="s">
        <v>2147</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112"/>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112"/>
      <c r="AF97" s="1112"/>
      <c r="AG97" s="1112"/>
      <c r="AH97" s="1112"/>
      <c r="AI97" s="1112"/>
      <c r="AJ97" s="1112"/>
      <c r="AK97" s="1112"/>
      <c r="AL97" s="389"/>
      <c r="AM97" s="389"/>
      <c r="AN97" s="384"/>
    </row>
    <row r="98" spans="1:47" s="385" customFormat="1" ht="12.75" customHeight="1">
      <c r="A98" s="387"/>
      <c r="B98" s="2545" t="s">
        <v>847</v>
      </c>
      <c r="C98" s="2545"/>
      <c r="D98" s="395" t="s">
        <v>2170</v>
      </c>
      <c r="E98" s="2537" t="s">
        <v>2186</v>
      </c>
      <c r="F98" s="2538"/>
      <c r="G98" s="2538"/>
      <c r="H98" s="2538"/>
      <c r="I98" s="2538"/>
      <c r="J98" s="2538"/>
      <c r="K98" s="2538"/>
      <c r="L98" s="2538"/>
      <c r="M98" s="2538"/>
      <c r="N98" s="2538"/>
      <c r="O98" s="2538"/>
      <c r="P98" s="2538"/>
      <c r="Q98" s="2538"/>
      <c r="R98" s="2538"/>
      <c r="S98" s="2538"/>
      <c r="T98" s="2538"/>
      <c r="U98" s="2538"/>
      <c r="V98" s="2538"/>
      <c r="W98" s="2538"/>
      <c r="X98" s="2538"/>
      <c r="Y98" s="2538"/>
      <c r="Z98" s="2538"/>
      <c r="AA98" s="2538"/>
      <c r="AB98" s="2538"/>
      <c r="AC98" s="2538"/>
      <c r="AD98" s="2538"/>
      <c r="AE98" s="2538"/>
      <c r="AF98" s="2538"/>
      <c r="AG98" s="2538"/>
      <c r="AH98" s="2538"/>
      <c r="AI98" s="2538"/>
      <c r="AJ98" s="2539"/>
      <c r="AK98" s="1112"/>
      <c r="AL98" s="389"/>
      <c r="AM98" s="389"/>
      <c r="AN98" s="384"/>
    </row>
    <row r="99" spans="1:47" s="385" customFormat="1" ht="12.75" customHeight="1">
      <c r="A99" s="387"/>
      <c r="B99" s="388"/>
      <c r="C99" s="388"/>
      <c r="D99" s="388"/>
      <c r="E99" s="2540"/>
      <c r="F99" s="2541"/>
      <c r="G99" s="2541"/>
      <c r="H99" s="2541"/>
      <c r="I99" s="2541"/>
      <c r="J99" s="2541"/>
      <c r="K99" s="2541"/>
      <c r="L99" s="2541"/>
      <c r="M99" s="2541"/>
      <c r="N99" s="2541"/>
      <c r="O99" s="2541"/>
      <c r="P99" s="2541"/>
      <c r="Q99" s="2541"/>
      <c r="R99" s="2541"/>
      <c r="S99" s="2541"/>
      <c r="T99" s="2541"/>
      <c r="U99" s="2541"/>
      <c r="V99" s="2541"/>
      <c r="W99" s="2541"/>
      <c r="X99" s="2541"/>
      <c r="Y99" s="2541"/>
      <c r="Z99" s="2541"/>
      <c r="AA99" s="2541"/>
      <c r="AB99" s="2541"/>
      <c r="AC99" s="2541"/>
      <c r="AD99" s="2541"/>
      <c r="AE99" s="2541"/>
      <c r="AF99" s="2541"/>
      <c r="AG99" s="2541"/>
      <c r="AH99" s="2541"/>
      <c r="AI99" s="2541"/>
      <c r="AJ99" s="2542"/>
      <c r="AK99" s="1112"/>
      <c r="AL99" s="389"/>
      <c r="AM99" s="389"/>
      <c r="AN99" s="384"/>
    </row>
    <row r="100" spans="1:47" s="385" customFormat="1" ht="12.75" customHeight="1">
      <c r="A100" s="387"/>
      <c r="B100" s="388"/>
      <c r="C100" s="388"/>
      <c r="D100" s="388"/>
      <c r="E100" s="2540"/>
      <c r="F100" s="2541"/>
      <c r="G100" s="2541"/>
      <c r="H100" s="2541"/>
      <c r="I100" s="2541"/>
      <c r="J100" s="2541"/>
      <c r="K100" s="2541"/>
      <c r="L100" s="2541"/>
      <c r="M100" s="2541"/>
      <c r="N100" s="2541"/>
      <c r="O100" s="2541"/>
      <c r="P100" s="2541"/>
      <c r="Q100" s="2541"/>
      <c r="R100" s="2541"/>
      <c r="S100" s="2541"/>
      <c r="T100" s="2541"/>
      <c r="U100" s="2541"/>
      <c r="V100" s="2541"/>
      <c r="W100" s="2541"/>
      <c r="X100" s="2541"/>
      <c r="Y100" s="2541"/>
      <c r="Z100" s="2541"/>
      <c r="AA100" s="2541"/>
      <c r="AB100" s="2541"/>
      <c r="AC100" s="2541"/>
      <c r="AD100" s="2541"/>
      <c r="AE100" s="2541"/>
      <c r="AF100" s="2541"/>
      <c r="AG100" s="2541"/>
      <c r="AH100" s="2541"/>
      <c r="AI100" s="2541"/>
      <c r="AJ100" s="2542"/>
      <c r="AK100" s="1112"/>
      <c r="AL100" s="389"/>
      <c r="AM100" s="389"/>
      <c r="AN100" s="384"/>
    </row>
    <row r="101" spans="1:47" s="385" customFormat="1" ht="12.75" customHeight="1">
      <c r="A101" s="387"/>
      <c r="B101" s="388"/>
      <c r="C101" s="388"/>
      <c r="D101" s="388"/>
      <c r="E101" s="2540"/>
      <c r="F101" s="2541"/>
      <c r="G101" s="2541"/>
      <c r="H101" s="2541"/>
      <c r="I101" s="2541"/>
      <c r="J101" s="2541"/>
      <c r="K101" s="2541"/>
      <c r="L101" s="2541"/>
      <c r="M101" s="2541"/>
      <c r="N101" s="2541"/>
      <c r="O101" s="2541"/>
      <c r="P101" s="2541"/>
      <c r="Q101" s="2541"/>
      <c r="R101" s="2541"/>
      <c r="S101" s="2541"/>
      <c r="T101" s="2541"/>
      <c r="U101" s="2541"/>
      <c r="V101" s="2541"/>
      <c r="W101" s="2541"/>
      <c r="X101" s="2541"/>
      <c r="Y101" s="2541"/>
      <c r="Z101" s="2541"/>
      <c r="AA101" s="2541"/>
      <c r="AB101" s="2541"/>
      <c r="AC101" s="2541"/>
      <c r="AD101" s="2541"/>
      <c r="AE101" s="2541"/>
      <c r="AF101" s="2541"/>
      <c r="AG101" s="2541"/>
      <c r="AH101" s="2541"/>
      <c r="AI101" s="2541"/>
      <c r="AJ101" s="2542"/>
      <c r="AK101" s="1112"/>
      <c r="AL101" s="389"/>
      <c r="AM101" s="389"/>
      <c r="AN101" s="384"/>
    </row>
    <row r="102" spans="1:47" s="385" customFormat="1" ht="12.75" customHeight="1">
      <c r="A102" s="387"/>
      <c r="B102" s="388"/>
      <c r="C102" s="388"/>
      <c r="D102" s="388"/>
      <c r="E102" s="1113"/>
      <c r="F102" s="1114"/>
      <c r="G102" s="1114"/>
      <c r="H102" s="1114"/>
      <c r="I102" s="1114"/>
      <c r="J102" s="1114"/>
      <c r="K102" s="1114"/>
      <c r="L102" s="1114"/>
      <c r="M102" s="1114"/>
      <c r="N102" s="1114"/>
      <c r="O102" s="1114"/>
      <c r="P102" s="1114"/>
      <c r="Q102" s="1114"/>
      <c r="R102" s="1114"/>
      <c r="S102" s="1114"/>
      <c r="T102" s="1114"/>
      <c r="U102" s="1114"/>
      <c r="V102" s="1114"/>
      <c r="W102" s="1114"/>
      <c r="X102" s="1114"/>
      <c r="Y102" s="1114"/>
      <c r="Z102" s="1114"/>
      <c r="AA102" s="1114"/>
      <c r="AB102" s="1114"/>
      <c r="AC102" s="1114"/>
      <c r="AD102" s="1114"/>
      <c r="AE102" s="1114"/>
      <c r="AF102" s="1114"/>
      <c r="AG102" s="1114"/>
      <c r="AH102" s="1114"/>
      <c r="AI102" s="1114"/>
      <c r="AJ102" s="1115"/>
      <c r="AK102" s="1112"/>
      <c r="AL102" s="389"/>
      <c r="AM102" s="389"/>
      <c r="AN102" s="384"/>
    </row>
    <row r="103" spans="1:47" s="385" customFormat="1" ht="12.75" customHeight="1">
      <c r="A103" s="387"/>
      <c r="B103" s="388"/>
      <c r="C103" s="388"/>
      <c r="D103" s="388"/>
      <c r="E103" s="2533">
        <f>Application!AC753</f>
        <v>0.48607594936708859</v>
      </c>
      <c r="F103" s="2534"/>
      <c r="G103" s="2534"/>
      <c r="H103" s="2534"/>
      <c r="I103" s="422"/>
      <c r="J103" s="425" t="s">
        <v>2183</v>
      </c>
      <c r="K103" s="422"/>
      <c r="L103" s="422"/>
      <c r="M103" s="422"/>
      <c r="N103" s="422"/>
      <c r="O103" s="422"/>
      <c r="P103" s="422"/>
      <c r="Q103" s="422"/>
      <c r="R103" s="1114"/>
      <c r="S103" s="1114"/>
      <c r="T103" s="1114"/>
      <c r="U103" s="1114"/>
      <c r="V103" s="1114"/>
      <c r="W103" s="1114"/>
      <c r="X103" s="1114"/>
      <c r="Y103" s="1114"/>
      <c r="Z103" s="1114"/>
      <c r="AA103" s="1114"/>
      <c r="AB103" s="1114"/>
      <c r="AC103" s="1114"/>
      <c r="AD103" s="1114"/>
      <c r="AE103" s="1114"/>
      <c r="AF103" s="1114"/>
      <c r="AG103" s="1114"/>
      <c r="AH103" s="1114"/>
      <c r="AI103" s="1114"/>
      <c r="AJ103" s="1115"/>
      <c r="AK103" s="1112"/>
      <c r="AL103" s="389"/>
      <c r="AM103" s="389"/>
      <c r="AN103" s="384"/>
    </row>
    <row r="104" spans="1:47" s="385" customFormat="1" ht="12.75" customHeight="1">
      <c r="A104" s="387"/>
      <c r="B104" s="388"/>
      <c r="C104" s="388"/>
      <c r="D104" s="388"/>
      <c r="E104" s="2533">
        <f ca="1">SUMIF(Application!AC718:AG752,0.2,Application!G718:J752)/Application!G753+SUMIF(Application!AC718:AG752,0.25,Application!G718:J752)/Application!G753+SUMIF(Application!AC718:AG752,0.3,Application!G718:J752)/Application!G753</f>
        <v>0.30379746835443039</v>
      </c>
      <c r="F104" s="2534"/>
      <c r="G104" s="2534"/>
      <c r="H104" s="2534"/>
      <c r="I104" s="422"/>
      <c r="J104" s="425" t="s">
        <v>2187</v>
      </c>
      <c r="K104" s="422"/>
      <c r="L104" s="422"/>
      <c r="M104" s="422"/>
      <c r="N104" s="422"/>
      <c r="O104" s="422"/>
      <c r="P104" s="422"/>
      <c r="Q104" s="422"/>
      <c r="R104" s="1114"/>
      <c r="S104" s="1114"/>
      <c r="T104" s="1114"/>
      <c r="U104" s="1114"/>
      <c r="V104" s="1114"/>
      <c r="W104" s="1114"/>
      <c r="X104" s="1114"/>
      <c r="Y104" s="1114"/>
      <c r="Z104" s="1114"/>
      <c r="AA104" s="1114"/>
      <c r="AB104" s="1114"/>
      <c r="AC104" s="1114"/>
      <c r="AD104" s="1114"/>
      <c r="AE104" s="1114"/>
      <c r="AF104" s="1114"/>
      <c r="AG104" s="1114"/>
      <c r="AH104" s="1114"/>
      <c r="AI104" s="1114"/>
      <c r="AJ104" s="1115"/>
      <c r="AK104" s="1112"/>
      <c r="AL104" s="389"/>
      <c r="AM104" s="389"/>
      <c r="AN104" s="384"/>
      <c r="AU104" s="684"/>
    </row>
    <row r="105" spans="1:47" s="385" customFormat="1" ht="12.75" customHeight="1">
      <c r="A105" s="387"/>
      <c r="B105" s="388"/>
      <c r="C105" s="388"/>
      <c r="D105" s="388"/>
      <c r="E105" s="2533">
        <f ca="1">SUMIF(Application!AC718:AG752,0.35,Application!G718:J752)/Application!G753+SUMIF(Application!AC718:AG752,0.4,Application!G718:J752)/Application!G753+SUMIF(Application!AC718:AG752,0.45,Application!G718:J752)/Application!G753+SUMIF(Application!AC718:AG752,0.5,Application!G718:J752)/Application!G753</f>
        <v>0.50632911392405067</v>
      </c>
      <c r="F105" s="2534"/>
      <c r="G105" s="2534"/>
      <c r="H105" s="2534"/>
      <c r="I105" s="422"/>
      <c r="J105" s="425" t="s">
        <v>2188</v>
      </c>
      <c r="K105" s="422"/>
      <c r="L105" s="422"/>
      <c r="M105" s="422"/>
      <c r="N105" s="422"/>
      <c r="O105" s="422"/>
      <c r="P105" s="422"/>
      <c r="Q105" s="422"/>
      <c r="R105" s="1114"/>
      <c r="S105" s="1114"/>
      <c r="T105" s="1114"/>
      <c r="U105" s="1114"/>
      <c r="V105" s="1114"/>
      <c r="W105" s="1114"/>
      <c r="X105" s="1114"/>
      <c r="Y105" s="1114"/>
      <c r="Z105" s="1114"/>
      <c r="AA105" s="1114"/>
      <c r="AB105" s="1114"/>
      <c r="AC105" s="1114"/>
      <c r="AD105" s="1114"/>
      <c r="AE105" s="1114"/>
      <c r="AF105" s="1114"/>
      <c r="AG105" s="1114"/>
      <c r="AH105" s="1114"/>
      <c r="AI105" s="1114"/>
      <c r="AJ105" s="1115"/>
      <c r="AK105" s="1112"/>
      <c r="AL105" s="389"/>
      <c r="AM105" s="389"/>
      <c r="AN105" s="384"/>
      <c r="AU105" s="684"/>
    </row>
    <row r="106" spans="1:47" s="385" customFormat="1" ht="12.75" customHeight="1">
      <c r="A106" s="387"/>
      <c r="B106" s="388"/>
      <c r="C106" s="388"/>
      <c r="D106" s="388"/>
      <c r="E106" s="2531">
        <f ca="1">IF(AND(E103&lt;=0.6,OR(AND(E104&gt;=0.1,E105&gt;=0.1),AND(E104&gt;0.1,(E104+E105)&gt;=0.2))),20,0)</f>
        <v>20</v>
      </c>
      <c r="F106" s="2532"/>
      <c r="G106" s="2532"/>
      <c r="H106" s="2532"/>
      <c r="I106" s="1114"/>
      <c r="J106" s="431" t="s">
        <v>2185</v>
      </c>
      <c r="K106" s="1114"/>
      <c r="L106" s="1114"/>
      <c r="M106" s="1114"/>
      <c r="N106" s="1114"/>
      <c r="O106" s="1114"/>
      <c r="P106" s="1114"/>
      <c r="Q106" s="1114"/>
      <c r="R106" s="1114"/>
      <c r="S106" s="1114"/>
      <c r="T106" s="1114"/>
      <c r="U106" s="1114"/>
      <c r="V106" s="1114"/>
      <c r="W106" s="1114"/>
      <c r="X106" s="1114"/>
      <c r="Y106" s="1114"/>
      <c r="Z106" s="1114"/>
      <c r="AA106" s="1114"/>
      <c r="AB106" s="1114"/>
      <c r="AC106" s="1114"/>
      <c r="AD106" s="1114"/>
      <c r="AE106" s="1114"/>
      <c r="AF106" s="1114"/>
      <c r="AG106" s="1114"/>
      <c r="AH106" s="1114"/>
      <c r="AI106" s="1114"/>
      <c r="AJ106" s="1115"/>
      <c r="AK106" s="1112"/>
      <c r="AL106" s="389"/>
      <c r="AM106" s="389"/>
      <c r="AN106" s="384"/>
      <c r="AP106" s="385">
        <f ca="1">IF(B98="yes",E106,0)</f>
        <v>20</v>
      </c>
      <c r="AQ106" s="385" t="s">
        <v>2147</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112"/>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112"/>
      <c r="AF108" s="1112"/>
      <c r="AG108" s="1112"/>
      <c r="AH108" s="1112"/>
      <c r="AI108" s="1112"/>
      <c r="AJ108" s="1112"/>
      <c r="AK108" s="1112"/>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2189</v>
      </c>
      <c r="AK109" s="2518">
        <f ca="1">MAX(AP95,AP106)</f>
        <v>20</v>
      </c>
      <c r="AL109" s="2519"/>
      <c r="AM109" s="2520"/>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132"/>
      <c r="J111" s="1132"/>
      <c r="K111" s="1132"/>
      <c r="L111" s="1132"/>
      <c r="M111" s="1132"/>
      <c r="N111" s="1132"/>
      <c r="O111" s="1132"/>
      <c r="P111" s="1132"/>
      <c r="Q111" s="1132"/>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2190</v>
      </c>
      <c r="B112" s="388" t="s">
        <v>2191</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2392" t="s">
        <v>2165</v>
      </c>
      <c r="AF112" s="2392"/>
      <c r="AG112" s="2392"/>
      <c r="AH112" s="2392"/>
      <c r="AI112" s="2392"/>
      <c r="AJ112" s="2392"/>
      <c r="AK112" s="2392"/>
      <c r="AL112" s="389"/>
      <c r="AM112" s="389"/>
      <c r="AN112" s="384"/>
      <c r="AO112" s="385" t="str">
        <f>Application!B718</f>
        <v>1 Bedroom</v>
      </c>
      <c r="AQ112" s="385">
        <f>Application!O718</f>
        <v>410</v>
      </c>
    </row>
    <row r="113" spans="1:52" s="385" customFormat="1" ht="12.75" customHeight="1">
      <c r="A113" s="389"/>
      <c r="B113" s="388" t="s">
        <v>2181</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112"/>
      <c r="AF113" s="1112"/>
      <c r="AG113" s="1112"/>
      <c r="AH113" s="1112"/>
      <c r="AI113" s="1112"/>
      <c r="AJ113" s="1112"/>
      <c r="AK113" s="389"/>
      <c r="AL113" s="389"/>
      <c r="AM113" s="389"/>
      <c r="AN113" s="384"/>
      <c r="AO113" s="385" t="str">
        <f>Application!B719</f>
        <v>2 Bedrooms</v>
      </c>
      <c r="AQ113" s="385">
        <f>Application!O719</f>
        <v>469</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1 Bedroom</v>
      </c>
      <c r="AQ114" s="385">
        <f>Application!O720</f>
        <v>575</v>
      </c>
    </row>
    <row r="115" spans="1:52" s="385" customFormat="1" ht="12.75" customHeight="1">
      <c r="A115" s="389"/>
      <c r="B115" s="2545" t="s">
        <v>847</v>
      </c>
      <c r="C115" s="2545"/>
      <c r="D115" s="395" t="s">
        <v>2167</v>
      </c>
      <c r="E115" s="2537" t="s">
        <v>2192</v>
      </c>
      <c r="F115" s="2538"/>
      <c r="G115" s="2538"/>
      <c r="H115" s="2538"/>
      <c r="I115" s="2538"/>
      <c r="J115" s="2538"/>
      <c r="K115" s="2538"/>
      <c r="L115" s="2538"/>
      <c r="M115" s="2538"/>
      <c r="N115" s="2538"/>
      <c r="O115" s="2538"/>
      <c r="P115" s="2538"/>
      <c r="Q115" s="2538"/>
      <c r="R115" s="2538"/>
      <c r="S115" s="2538"/>
      <c r="T115" s="2538"/>
      <c r="U115" s="2538"/>
      <c r="V115" s="2538"/>
      <c r="W115" s="2538"/>
      <c r="X115" s="2538"/>
      <c r="Y115" s="2538"/>
      <c r="Z115" s="2538"/>
      <c r="AA115" s="2538"/>
      <c r="AB115" s="2538"/>
      <c r="AC115" s="2538"/>
      <c r="AD115" s="2538"/>
      <c r="AE115" s="2538"/>
      <c r="AF115" s="2538"/>
      <c r="AG115" s="2538"/>
      <c r="AH115" s="2538"/>
      <c r="AI115" s="2538"/>
      <c r="AJ115" s="2539"/>
      <c r="AK115" s="389"/>
      <c r="AL115" s="389"/>
      <c r="AM115" s="389"/>
      <c r="AN115" s="384"/>
      <c r="AO115" s="385" t="str">
        <f>Application!B721</f>
        <v>2 Bedrooms</v>
      </c>
      <c r="AQ115" s="385">
        <f>Application!O721</f>
        <v>667</v>
      </c>
      <c r="AU115" s="385" t="s">
        <v>2193</v>
      </c>
      <c r="AV115" s="437" t="s">
        <v>2194</v>
      </c>
      <c r="AW115" s="385" t="s">
        <v>2195</v>
      </c>
    </row>
    <row r="116" spans="1:52" s="385" customFormat="1" ht="12.75" customHeight="1">
      <c r="A116" s="389"/>
      <c r="B116" s="388"/>
      <c r="C116" s="388"/>
      <c r="D116" s="388"/>
      <c r="E116" s="2540"/>
      <c r="F116" s="2541"/>
      <c r="G116" s="2541"/>
      <c r="H116" s="2541"/>
      <c r="I116" s="2541"/>
      <c r="J116" s="2541"/>
      <c r="K116" s="2541"/>
      <c r="L116" s="2541"/>
      <c r="M116" s="2541"/>
      <c r="N116" s="2541"/>
      <c r="O116" s="2541"/>
      <c r="P116" s="2541"/>
      <c r="Q116" s="2541"/>
      <c r="R116" s="2541"/>
      <c r="S116" s="2541"/>
      <c r="T116" s="2541"/>
      <c r="U116" s="2541"/>
      <c r="V116" s="2541"/>
      <c r="W116" s="2541"/>
      <c r="X116" s="2541"/>
      <c r="Y116" s="2541"/>
      <c r="Z116" s="2541"/>
      <c r="AA116" s="2541"/>
      <c r="AB116" s="2541"/>
      <c r="AC116" s="2541"/>
      <c r="AD116" s="2541"/>
      <c r="AE116" s="2541"/>
      <c r="AF116" s="2541"/>
      <c r="AG116" s="2541"/>
      <c r="AH116" s="2541"/>
      <c r="AI116" s="2541"/>
      <c r="AJ116" s="2542"/>
      <c r="AK116" s="389"/>
      <c r="AL116" s="389"/>
      <c r="AM116" s="389"/>
      <c r="AN116" s="384"/>
      <c r="AO116" s="385" t="str">
        <f>Application!B722</f>
        <v>1 Bedroom</v>
      </c>
      <c r="AQ116" s="385">
        <f>Application!O722</f>
        <v>740</v>
      </c>
      <c r="AU116" s="679" t="str">
        <f>E124</f>
        <v>Studio/SRO</v>
      </c>
      <c r="AV116" s="385">
        <f t="array" ref="AV116">SUM(IF(Application!B718:F752="SRO/Studio",Application!G718:J752))</f>
        <v>0</v>
      </c>
      <c r="AW116" s="798">
        <f>AV116/AV122</f>
        <v>0</v>
      </c>
    </row>
    <row r="117" spans="1:52" s="385" customFormat="1" ht="12.75" customHeight="1">
      <c r="A117" s="389"/>
      <c r="B117" s="388"/>
      <c r="C117" s="388"/>
      <c r="D117" s="388"/>
      <c r="E117" s="2540"/>
      <c r="F117" s="2541"/>
      <c r="G117" s="2541"/>
      <c r="H117" s="2541"/>
      <c r="I117" s="2541"/>
      <c r="J117" s="2541"/>
      <c r="K117" s="2541"/>
      <c r="L117" s="2541"/>
      <c r="M117" s="2541"/>
      <c r="N117" s="2541"/>
      <c r="O117" s="2541"/>
      <c r="P117" s="2541"/>
      <c r="Q117" s="2541"/>
      <c r="R117" s="2541"/>
      <c r="S117" s="2541"/>
      <c r="T117" s="2541"/>
      <c r="U117" s="2541"/>
      <c r="V117" s="2541"/>
      <c r="W117" s="2541"/>
      <c r="X117" s="2541"/>
      <c r="Y117" s="2541"/>
      <c r="Z117" s="2541"/>
      <c r="AA117" s="2541"/>
      <c r="AB117" s="2541"/>
      <c r="AC117" s="2541"/>
      <c r="AD117" s="2541"/>
      <c r="AE117" s="2541"/>
      <c r="AF117" s="2541"/>
      <c r="AG117" s="2541"/>
      <c r="AH117" s="2541"/>
      <c r="AI117" s="2541"/>
      <c r="AJ117" s="2542"/>
      <c r="AK117" s="389"/>
      <c r="AL117" s="389"/>
      <c r="AM117" s="389"/>
      <c r="AN117" s="384"/>
      <c r="AO117" s="385" t="str">
        <f>Application!B723</f>
        <v>2 Bedrooms</v>
      </c>
      <c r="AQ117" s="385">
        <f>Application!O723</f>
        <v>865</v>
      </c>
      <c r="AU117" s="679" t="str">
        <f>J124</f>
        <v>1-bedroom</v>
      </c>
      <c r="AV117" s="385">
        <f t="array" ref="AV117">SUM(IF(Application!B718:F752="1 Bedroom",Application!G718:J752))</f>
        <v>64</v>
      </c>
      <c r="AW117" s="798">
        <f>AV117/AV122</f>
        <v>0.810126582278481</v>
      </c>
    </row>
    <row r="118" spans="1:52" s="385" customFormat="1" ht="12.75" customHeight="1">
      <c r="A118" s="389"/>
      <c r="B118" s="388"/>
      <c r="C118" s="388"/>
      <c r="D118" s="388"/>
      <c r="E118" s="2540"/>
      <c r="F118" s="2541"/>
      <c r="G118" s="2541"/>
      <c r="H118" s="2541"/>
      <c r="I118" s="2541"/>
      <c r="J118" s="2541"/>
      <c r="K118" s="2541"/>
      <c r="L118" s="2541"/>
      <c r="M118" s="2541"/>
      <c r="N118" s="2541"/>
      <c r="O118" s="2541"/>
      <c r="P118" s="2541"/>
      <c r="Q118" s="2541"/>
      <c r="R118" s="2541"/>
      <c r="S118" s="2541"/>
      <c r="T118" s="2541"/>
      <c r="U118" s="2541"/>
      <c r="V118" s="2541"/>
      <c r="W118" s="2541"/>
      <c r="X118" s="2541"/>
      <c r="Y118" s="2541"/>
      <c r="Z118" s="2541"/>
      <c r="AA118" s="2541"/>
      <c r="AB118" s="2541"/>
      <c r="AC118" s="2541"/>
      <c r="AD118" s="2541"/>
      <c r="AE118" s="2541"/>
      <c r="AF118" s="2541"/>
      <c r="AG118" s="2541"/>
      <c r="AH118" s="2541"/>
      <c r="AI118" s="2541"/>
      <c r="AJ118" s="2542"/>
      <c r="AK118" s="389"/>
      <c r="AL118" s="389"/>
      <c r="AM118" s="389"/>
      <c r="AN118" s="384"/>
      <c r="AO118" s="385" t="str">
        <f>Application!B724</f>
        <v>1 Bedroom</v>
      </c>
      <c r="AQ118" s="385">
        <f>Application!O724</f>
        <v>1175</v>
      </c>
      <c r="AU118" s="679" t="str">
        <f>O124</f>
        <v>2-bedroom</v>
      </c>
      <c r="AV118" s="385">
        <f t="array" ref="AV118">SUM(IF(Application!B718:F752="2 Bedrooms",Application!G718:J752))</f>
        <v>15</v>
      </c>
      <c r="AW118" s="798">
        <f>AV118/AV122</f>
        <v>0.189873417721519</v>
      </c>
    </row>
    <row r="119" spans="1:52" s="385" customFormat="1" ht="12.75" customHeight="1">
      <c r="A119" s="389"/>
      <c r="B119" s="388"/>
      <c r="C119" s="388"/>
      <c r="D119" s="388"/>
      <c r="E119" s="2540"/>
      <c r="F119" s="2541"/>
      <c r="G119" s="2541"/>
      <c r="H119" s="2541"/>
      <c r="I119" s="2541"/>
      <c r="J119" s="2541"/>
      <c r="K119" s="2541"/>
      <c r="L119" s="2541"/>
      <c r="M119" s="2541"/>
      <c r="N119" s="2541"/>
      <c r="O119" s="2541"/>
      <c r="P119" s="2541"/>
      <c r="Q119" s="2541"/>
      <c r="R119" s="2541"/>
      <c r="S119" s="2541"/>
      <c r="T119" s="2541"/>
      <c r="U119" s="2541"/>
      <c r="V119" s="2541"/>
      <c r="W119" s="2541"/>
      <c r="X119" s="2541"/>
      <c r="Y119" s="2541"/>
      <c r="Z119" s="2541"/>
      <c r="AA119" s="2541"/>
      <c r="AB119" s="2541"/>
      <c r="AC119" s="2541"/>
      <c r="AD119" s="2541"/>
      <c r="AE119" s="2541"/>
      <c r="AF119" s="2541"/>
      <c r="AG119" s="2541"/>
      <c r="AH119" s="2541"/>
      <c r="AI119" s="2541"/>
      <c r="AJ119" s="2542"/>
      <c r="AK119" s="389"/>
      <c r="AL119" s="389"/>
      <c r="AM119" s="389"/>
      <c r="AN119" s="384"/>
      <c r="AO119" s="385" t="str">
        <f>Application!B725</f>
        <v>2 Bedrooms</v>
      </c>
      <c r="AQ119" s="385">
        <f>Application!O725</f>
        <v>1260</v>
      </c>
      <c r="AU119" s="679" t="str">
        <f>T124</f>
        <v>3-bedroom</v>
      </c>
      <c r="AV119" s="385">
        <f t="array" ref="AV119">SUM(IF(Application!B718:F752="3 Bedrooms",Application!G718:J752))</f>
        <v>0</v>
      </c>
      <c r="AW119" s="798">
        <f>AV119/AV122</f>
        <v>0</v>
      </c>
    </row>
    <row r="120" spans="1:52" s="385" customFormat="1" ht="12.75" customHeight="1">
      <c r="A120" s="389"/>
      <c r="B120" s="388"/>
      <c r="C120" s="388"/>
      <c r="D120" s="388"/>
      <c r="E120" s="2540"/>
      <c r="F120" s="2541"/>
      <c r="G120" s="2541"/>
      <c r="H120" s="2541"/>
      <c r="I120" s="2541"/>
      <c r="J120" s="2541"/>
      <c r="K120" s="2541"/>
      <c r="L120" s="2541"/>
      <c r="M120" s="2541"/>
      <c r="N120" s="2541"/>
      <c r="O120" s="2541"/>
      <c r="P120" s="2541"/>
      <c r="Q120" s="2541"/>
      <c r="R120" s="2541"/>
      <c r="S120" s="2541"/>
      <c r="T120" s="2541"/>
      <c r="U120" s="2541"/>
      <c r="V120" s="2541"/>
      <c r="W120" s="2541"/>
      <c r="X120" s="2541"/>
      <c r="Y120" s="2541"/>
      <c r="Z120" s="2541"/>
      <c r="AA120" s="2541"/>
      <c r="AB120" s="2541"/>
      <c r="AC120" s="2541"/>
      <c r="AD120" s="2541"/>
      <c r="AE120" s="2541"/>
      <c r="AF120" s="2541"/>
      <c r="AG120" s="2541"/>
      <c r="AH120" s="2541"/>
      <c r="AI120" s="2541"/>
      <c r="AJ120" s="2542"/>
      <c r="AK120" s="389"/>
      <c r="AL120" s="389"/>
      <c r="AM120" s="389"/>
      <c r="AN120" s="384"/>
      <c r="AO120" s="385">
        <f>Application!B726</f>
        <v>0</v>
      </c>
      <c r="AQ120" s="385">
        <f>Application!O726</f>
        <v>0</v>
      </c>
      <c r="AU120" s="679" t="str">
        <f>Y124</f>
        <v>4-bedroom</v>
      </c>
      <c r="AV120" s="385">
        <f t="array" ref="AV120">SUM(IF(Application!B718:F752="4 Bedrooms",Application!G718:J752))</f>
        <v>0</v>
      </c>
      <c r="AW120" s="798">
        <f>AV120/AV122</f>
        <v>0</v>
      </c>
    </row>
    <row r="121" spans="1:52" s="385" customFormat="1" ht="12.75" customHeight="1">
      <c r="A121" s="389"/>
      <c r="B121" s="388"/>
      <c r="C121" s="388"/>
      <c r="D121" s="388"/>
      <c r="E121" s="2540"/>
      <c r="F121" s="2541"/>
      <c r="G121" s="2541"/>
      <c r="H121" s="2541"/>
      <c r="I121" s="2541"/>
      <c r="J121" s="2541"/>
      <c r="K121" s="2541"/>
      <c r="L121" s="2541"/>
      <c r="M121" s="2541"/>
      <c r="N121" s="2541"/>
      <c r="O121" s="2541"/>
      <c r="P121" s="2541"/>
      <c r="Q121" s="2541"/>
      <c r="R121" s="2541"/>
      <c r="S121" s="2541"/>
      <c r="T121" s="2541"/>
      <c r="U121" s="2541"/>
      <c r="V121" s="2541"/>
      <c r="W121" s="2541"/>
      <c r="X121" s="2541"/>
      <c r="Y121" s="2541"/>
      <c r="Z121" s="2541"/>
      <c r="AA121" s="2541"/>
      <c r="AB121" s="2541"/>
      <c r="AC121" s="2541"/>
      <c r="AD121" s="2541"/>
      <c r="AE121" s="2541"/>
      <c r="AF121" s="2541"/>
      <c r="AG121" s="2541"/>
      <c r="AH121" s="2541"/>
      <c r="AI121" s="2541"/>
      <c r="AJ121" s="2542"/>
      <c r="AK121" s="389"/>
      <c r="AL121" s="389"/>
      <c r="AM121" s="389"/>
      <c r="AN121" s="384"/>
      <c r="AO121" s="385">
        <f>Application!B727</f>
        <v>0</v>
      </c>
      <c r="AQ121" s="385">
        <f>Application!O727</f>
        <v>0</v>
      </c>
      <c r="AU121" s="679" t="str">
        <f>AD124</f>
        <v>5-bedroom</v>
      </c>
      <c r="AV121" s="385">
        <f t="array" ref="AV121">SUM(IF(Application!B718:F752="5 Bedrooms",Application!G718:J752))</f>
        <v>0</v>
      </c>
      <c r="AW121" s="798">
        <f>AV121/AV122</f>
        <v>0</v>
      </c>
    </row>
    <row r="122" spans="1:52" s="385" customFormat="1" ht="12.75" customHeight="1">
      <c r="A122" s="389"/>
      <c r="B122" s="388"/>
      <c r="C122" s="388"/>
      <c r="D122" s="388"/>
      <c r="E122" s="2540"/>
      <c r="F122" s="2541"/>
      <c r="G122" s="2541"/>
      <c r="H122" s="2541"/>
      <c r="I122" s="2541"/>
      <c r="J122" s="2541"/>
      <c r="K122" s="2541"/>
      <c r="L122" s="2541"/>
      <c r="M122" s="2541"/>
      <c r="N122" s="2541"/>
      <c r="O122" s="2541"/>
      <c r="P122" s="2541"/>
      <c r="Q122" s="2541"/>
      <c r="R122" s="2541"/>
      <c r="S122" s="2541"/>
      <c r="T122" s="2541"/>
      <c r="U122" s="2541"/>
      <c r="V122" s="2541"/>
      <c r="W122" s="2541"/>
      <c r="X122" s="2541"/>
      <c r="Y122" s="2541"/>
      <c r="Z122" s="2541"/>
      <c r="AA122" s="2541"/>
      <c r="AB122" s="2541"/>
      <c r="AC122" s="2541"/>
      <c r="AD122" s="2541"/>
      <c r="AE122" s="2541"/>
      <c r="AF122" s="2541"/>
      <c r="AG122" s="2541"/>
      <c r="AH122" s="2541"/>
      <c r="AI122" s="2541"/>
      <c r="AJ122" s="2542"/>
      <c r="AK122" s="389"/>
      <c r="AL122" s="389"/>
      <c r="AM122" s="389"/>
      <c r="AN122" s="384"/>
      <c r="AO122" s="385">
        <f>Application!B728</f>
        <v>0</v>
      </c>
      <c r="AQ122" s="385">
        <f>Application!O728</f>
        <v>0</v>
      </c>
      <c r="AV122" s="385">
        <f>SUM(AV116:AV121)</f>
        <v>79</v>
      </c>
      <c r="AW122" s="798">
        <f>SUM(AW116:AW121)</f>
        <v>1</v>
      </c>
    </row>
    <row r="123" spans="1:52" s="385" customFormat="1" ht="12.75" customHeight="1">
      <c r="A123" s="389"/>
      <c r="B123" s="388"/>
      <c r="C123" s="388"/>
      <c r="D123" s="388"/>
      <c r="E123" s="1113"/>
      <c r="F123" s="1114"/>
      <c r="G123" s="1114"/>
      <c r="H123" s="1114"/>
      <c r="I123" s="1114"/>
      <c r="J123" s="1114"/>
      <c r="K123" s="1114"/>
      <c r="L123" s="1114"/>
      <c r="M123" s="1114"/>
      <c r="N123" s="1114"/>
      <c r="O123" s="1114"/>
      <c r="P123" s="1114"/>
      <c r="Q123" s="1114"/>
      <c r="R123" s="1114"/>
      <c r="S123" s="1114"/>
      <c r="T123" s="1114"/>
      <c r="U123" s="1114"/>
      <c r="V123" s="1114"/>
      <c r="W123" s="1114"/>
      <c r="X123" s="1114"/>
      <c r="Y123" s="1114"/>
      <c r="Z123" s="1114"/>
      <c r="AA123" s="1114"/>
      <c r="AB123" s="1114"/>
      <c r="AC123" s="1114"/>
      <c r="AD123" s="1114"/>
      <c r="AE123" s="1114"/>
      <c r="AF123" s="1114"/>
      <c r="AG123" s="1114"/>
      <c r="AH123" s="1114"/>
      <c r="AI123" s="1114"/>
      <c r="AJ123" s="1115"/>
      <c r="AK123" s="389"/>
      <c r="AL123" s="389"/>
      <c r="AM123" s="389"/>
      <c r="AN123" s="384"/>
      <c r="AO123" s="385">
        <f>Application!B729</f>
        <v>0</v>
      </c>
      <c r="AQ123" s="385">
        <f>Application!O729</f>
        <v>0</v>
      </c>
    </row>
    <row r="124" spans="1:52" s="385" customFormat="1" ht="12.75" customHeight="1">
      <c r="A124" s="389"/>
      <c r="B124" s="388"/>
      <c r="C124" s="389"/>
      <c r="D124" s="389"/>
      <c r="E124" s="2533" t="s">
        <v>2196</v>
      </c>
      <c r="F124" s="2534"/>
      <c r="G124" s="2534"/>
      <c r="H124" s="2534"/>
      <c r="I124" s="422"/>
      <c r="J124" s="2534" t="s">
        <v>2197</v>
      </c>
      <c r="K124" s="2534"/>
      <c r="L124" s="2534"/>
      <c r="M124" s="2534"/>
      <c r="N124" s="422"/>
      <c r="O124" s="2534" t="s">
        <v>2198</v>
      </c>
      <c r="P124" s="2534"/>
      <c r="Q124" s="2534"/>
      <c r="R124" s="2534"/>
      <c r="S124" s="422"/>
      <c r="T124" s="2534" t="s">
        <v>2199</v>
      </c>
      <c r="U124" s="2534"/>
      <c r="V124" s="2534"/>
      <c r="W124" s="2534"/>
      <c r="X124" s="422"/>
      <c r="Y124" s="2534" t="s">
        <v>2200</v>
      </c>
      <c r="Z124" s="2534"/>
      <c r="AA124" s="2534"/>
      <c r="AB124" s="2534"/>
      <c r="AC124" s="422"/>
      <c r="AD124" s="2534" t="s">
        <v>2201</v>
      </c>
      <c r="AE124" s="2534"/>
      <c r="AF124" s="2534"/>
      <c r="AG124" s="2534"/>
      <c r="AH124" s="422"/>
      <c r="AI124" s="422"/>
      <c r="AJ124" s="424"/>
      <c r="AK124" s="389"/>
      <c r="AL124" s="389"/>
      <c r="AM124" s="389"/>
      <c r="AN124" s="384"/>
      <c r="AO124" s="385">
        <f>Application!B730</f>
        <v>0</v>
      </c>
      <c r="AQ124" s="385">
        <f>Application!O730</f>
        <v>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388"/>
      <c r="C126" s="389"/>
      <c r="D126" s="389"/>
      <c r="E126" s="688" t="s">
        <v>2202</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388"/>
      <c r="C127" s="389"/>
      <c r="D127" s="389"/>
      <c r="E127" s="2535"/>
      <c r="F127" s="2536"/>
      <c r="G127" s="2536"/>
      <c r="H127" s="2536"/>
      <c r="I127" s="686"/>
      <c r="J127" s="2536">
        <v>1665</v>
      </c>
      <c r="K127" s="2536"/>
      <c r="L127" s="2536"/>
      <c r="M127" s="2536"/>
      <c r="N127" s="686"/>
      <c r="O127" s="2536">
        <v>1726</v>
      </c>
      <c r="P127" s="2536"/>
      <c r="Q127" s="2536"/>
      <c r="R127" s="2536"/>
      <c r="S127" s="686"/>
      <c r="T127" s="2536"/>
      <c r="U127" s="2536"/>
      <c r="V127" s="2536"/>
      <c r="W127" s="2536"/>
      <c r="X127" s="686"/>
      <c r="Y127" s="2536"/>
      <c r="Z127" s="2536"/>
      <c r="AA127" s="2536"/>
      <c r="AB127" s="2536"/>
      <c r="AC127" s="686"/>
      <c r="AD127" s="2536"/>
      <c r="AE127" s="2536"/>
      <c r="AF127" s="2536"/>
      <c r="AG127" s="2536"/>
      <c r="AH127" s="422"/>
      <c r="AI127" s="422"/>
      <c r="AJ127" s="424"/>
      <c r="AK127" s="389"/>
      <c r="AL127" s="389"/>
      <c r="AM127" s="389"/>
      <c r="AN127" s="384"/>
      <c r="AO127" s="385">
        <f>Application!B733</f>
        <v>0</v>
      </c>
      <c r="AQ127" s="385">
        <f>Application!O733</f>
        <v>0</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796"/>
      <c r="AV128" s="796"/>
      <c r="AW128" s="796"/>
      <c r="AX128" s="796"/>
      <c r="AY128" s="796"/>
      <c r="AZ128" s="796"/>
    </row>
    <row r="129" spans="1:52" s="385" customFormat="1" ht="12.75" customHeight="1">
      <c r="A129" s="389"/>
      <c r="B129" s="388"/>
      <c r="C129" s="389"/>
      <c r="D129" s="389"/>
      <c r="E129" s="688" t="s">
        <v>2203</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796"/>
      <c r="AV129" s="796"/>
      <c r="AW129" s="796"/>
      <c r="AX129" s="796"/>
      <c r="AY129" s="796"/>
      <c r="AZ129" s="796"/>
    </row>
    <row r="130" spans="1:52" s="385" customFormat="1" ht="12.75" customHeight="1">
      <c r="A130" s="389"/>
      <c r="B130" s="388"/>
      <c r="C130" s="389"/>
      <c r="D130" s="389"/>
      <c r="E130" s="2543">
        <f>Application!DX670</f>
        <v>0</v>
      </c>
      <c r="F130" s="2544"/>
      <c r="G130" s="2544"/>
      <c r="H130" s="2544"/>
      <c r="I130" s="686"/>
      <c r="J130" s="2544">
        <f>Application!EC670</f>
        <v>668.046875</v>
      </c>
      <c r="K130" s="2544"/>
      <c r="L130" s="2544"/>
      <c r="M130" s="2544"/>
      <c r="N130" s="686"/>
      <c r="O130" s="2544">
        <f>Application!EH670</f>
        <v>956.93333333333339</v>
      </c>
      <c r="P130" s="2544"/>
      <c r="Q130" s="2544"/>
      <c r="R130" s="2544"/>
      <c r="S130" s="690"/>
      <c r="T130" s="2544">
        <f>Application!EM670</f>
        <v>0</v>
      </c>
      <c r="U130" s="2544"/>
      <c r="V130" s="2544"/>
      <c r="W130" s="2544"/>
      <c r="X130" s="690"/>
      <c r="Y130" s="2544">
        <f>Application!ER670</f>
        <v>0</v>
      </c>
      <c r="Z130" s="2544"/>
      <c r="AA130" s="2544"/>
      <c r="AB130" s="2544"/>
      <c r="AC130" s="690"/>
      <c r="AD130" s="2544">
        <f>Application!EW670</f>
        <v>0</v>
      </c>
      <c r="AE130" s="2544"/>
      <c r="AF130" s="2544"/>
      <c r="AG130" s="2544"/>
      <c r="AH130" s="422"/>
      <c r="AI130" s="422"/>
      <c r="AJ130" s="424"/>
      <c r="AK130" s="389"/>
      <c r="AL130" s="389"/>
      <c r="AM130" s="389"/>
      <c r="AN130" s="384"/>
      <c r="AO130" s="385">
        <f>Application!B736</f>
        <v>0</v>
      </c>
      <c r="AQ130" s="385">
        <f>Application!O736</f>
        <v>0</v>
      </c>
      <c r="AU130" s="796"/>
      <c r="AV130" s="796"/>
      <c r="AW130" s="797"/>
      <c r="AX130" s="797"/>
      <c r="AY130" s="796"/>
      <c r="AZ130" s="796"/>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796"/>
      <c r="AV131" s="796"/>
      <c r="AW131" s="797"/>
      <c r="AX131" s="797"/>
      <c r="AY131" s="796"/>
      <c r="AZ131" s="796"/>
    </row>
    <row r="132" spans="1:52" s="385" customFormat="1" ht="12.75" customHeight="1">
      <c r="A132" s="389"/>
      <c r="B132" s="388"/>
      <c r="C132" s="389"/>
      <c r="D132" s="389"/>
      <c r="E132" s="688" t="s">
        <v>2204</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796"/>
      <c r="AV132" s="796"/>
      <c r="AW132" s="797"/>
      <c r="AX132" s="797"/>
      <c r="AY132" s="796"/>
      <c r="AZ132" s="796"/>
    </row>
    <row r="133" spans="1:52" s="385" customFormat="1" ht="12.75" customHeight="1">
      <c r="A133" s="389"/>
      <c r="B133" s="388"/>
      <c r="C133" s="389"/>
      <c r="D133" s="389"/>
      <c r="E133" s="2338" t="e">
        <f>(E127-E130)/E127</f>
        <v>#DIV/0!</v>
      </c>
      <c r="F133" s="2339"/>
      <c r="G133" s="2339"/>
      <c r="H133" s="2340"/>
      <c r="I133" s="422"/>
      <c r="J133" s="2338">
        <f>(J127-J130)/J127</f>
        <v>0.59877064564564564</v>
      </c>
      <c r="K133" s="2339"/>
      <c r="L133" s="2339"/>
      <c r="M133" s="2340"/>
      <c r="N133" s="422"/>
      <c r="O133" s="2338">
        <f>(O127-O130)/O127</f>
        <v>0.44557744302819619</v>
      </c>
      <c r="P133" s="2339"/>
      <c r="Q133" s="2339"/>
      <c r="R133" s="2340"/>
      <c r="S133" s="422"/>
      <c r="T133" s="2338" t="e">
        <f>(T127-T130)/T127</f>
        <v>#DIV/0!</v>
      </c>
      <c r="U133" s="2339"/>
      <c r="V133" s="2339"/>
      <c r="W133" s="2340"/>
      <c r="X133" s="422"/>
      <c r="Y133" s="2338" t="e">
        <f>(Y127-Y130)/Y127</f>
        <v>#DIV/0!</v>
      </c>
      <c r="Z133" s="2339"/>
      <c r="AA133" s="2339"/>
      <c r="AB133" s="2340"/>
      <c r="AC133" s="422"/>
      <c r="AD133" s="2338" t="e">
        <f>(AD127-AD130)/AD127</f>
        <v>#DIV/0!</v>
      </c>
      <c r="AE133" s="2339"/>
      <c r="AF133" s="2339"/>
      <c r="AG133" s="2340"/>
      <c r="AH133" s="422"/>
      <c r="AI133" s="422"/>
      <c r="AJ133" s="424"/>
      <c r="AK133" s="389"/>
      <c r="AL133" s="389"/>
      <c r="AM133" s="389"/>
      <c r="AN133" s="384"/>
      <c r="AO133" s="385">
        <f>Application!B739</f>
        <v>0</v>
      </c>
      <c r="AQ133" s="385">
        <f>Application!O739</f>
        <v>0</v>
      </c>
      <c r="AU133" s="796"/>
      <c r="AV133" s="796"/>
      <c r="AW133" s="797"/>
      <c r="AX133" s="797"/>
      <c r="AY133" s="796"/>
      <c r="AZ133" s="796"/>
    </row>
    <row r="134" spans="1:52" s="385" customFormat="1" ht="12.75" customHeight="1">
      <c r="A134" s="389"/>
      <c r="B134" s="388"/>
      <c r="C134" s="389"/>
      <c r="D134" s="389"/>
      <c r="E134" s="794"/>
      <c r="F134" s="793"/>
      <c r="G134" s="793"/>
      <c r="H134" s="793"/>
      <c r="I134" s="422"/>
      <c r="J134" s="793"/>
      <c r="K134" s="793"/>
      <c r="L134" s="793"/>
      <c r="M134" s="793"/>
      <c r="N134" s="422"/>
      <c r="O134" s="793"/>
      <c r="P134" s="793"/>
      <c r="Q134" s="793"/>
      <c r="R134" s="793"/>
      <c r="S134" s="422"/>
      <c r="T134" s="793"/>
      <c r="U134" s="793"/>
      <c r="V134" s="793"/>
      <c r="W134" s="793"/>
      <c r="X134" s="422"/>
      <c r="Y134" s="793"/>
      <c r="Z134" s="793"/>
      <c r="AA134" s="793"/>
      <c r="AB134" s="793"/>
      <c r="AC134" s="422"/>
      <c r="AD134" s="793"/>
      <c r="AE134" s="793"/>
      <c r="AF134" s="793"/>
      <c r="AG134" s="793"/>
      <c r="AH134" s="422"/>
      <c r="AI134" s="422"/>
      <c r="AJ134" s="424"/>
      <c r="AK134" s="389"/>
      <c r="AL134" s="389"/>
      <c r="AM134" s="389"/>
      <c r="AN134" s="384"/>
      <c r="AO134" s="385">
        <f>Application!B740</f>
        <v>0</v>
      </c>
      <c r="AQ134" s="385">
        <f>Application!O740</f>
        <v>0</v>
      </c>
      <c r="AU134" s="796"/>
      <c r="AV134" s="796"/>
      <c r="AW134" s="797"/>
      <c r="AX134" s="797"/>
      <c r="AY134" s="796"/>
      <c r="AZ134" s="796"/>
    </row>
    <row r="135" spans="1:52" s="385" customFormat="1" ht="12.75" customHeight="1">
      <c r="A135" s="389"/>
      <c r="B135" s="388"/>
      <c r="C135" s="389"/>
      <c r="D135" s="389"/>
      <c r="E135" s="795" t="s">
        <v>2205</v>
      </c>
      <c r="F135" s="793"/>
      <c r="G135" s="793"/>
      <c r="H135" s="793"/>
      <c r="I135" s="422"/>
      <c r="J135" s="793"/>
      <c r="K135" s="793"/>
      <c r="L135" s="793"/>
      <c r="M135" s="793"/>
      <c r="N135" s="422"/>
      <c r="O135" s="793"/>
      <c r="P135" s="793"/>
      <c r="Q135" s="793"/>
      <c r="R135" s="793"/>
      <c r="S135" s="422"/>
      <c r="T135" s="793"/>
      <c r="U135" s="793"/>
      <c r="V135" s="793"/>
      <c r="W135" s="793"/>
      <c r="X135" s="422"/>
      <c r="Y135" s="793"/>
      <c r="Z135" s="793"/>
      <c r="AA135" s="793"/>
      <c r="AB135" s="793"/>
      <c r="AC135" s="422"/>
      <c r="AD135" s="793"/>
      <c r="AE135" s="793"/>
      <c r="AF135" s="793"/>
      <c r="AG135" s="793"/>
      <c r="AH135" s="422"/>
      <c r="AI135" s="422"/>
      <c r="AJ135" s="424"/>
      <c r="AK135" s="389"/>
      <c r="AL135" s="389"/>
      <c r="AM135" s="389"/>
      <c r="AN135" s="384"/>
      <c r="AO135" s="385">
        <f>Application!B741</f>
        <v>0</v>
      </c>
      <c r="AQ135" s="385">
        <f>Application!O741</f>
        <v>0</v>
      </c>
      <c r="AU135" s="797"/>
      <c r="AV135" s="796"/>
      <c r="AW135" s="797"/>
      <c r="AX135" s="797"/>
      <c r="AY135" s="796"/>
      <c r="AZ135" s="796"/>
    </row>
    <row r="136" spans="1:52" s="385" customFormat="1" ht="12.75" customHeight="1">
      <c r="A136" s="389"/>
      <c r="B136" s="388"/>
      <c r="C136" s="389"/>
      <c r="D136" s="389"/>
      <c r="E136" s="2546" t="e">
        <f>IF(((E133-0.1)*AW116)&gt;0,((E133-0.1)*AW116),0)</f>
        <v>#DIV/0!</v>
      </c>
      <c r="F136" s="2547"/>
      <c r="G136" s="2547"/>
      <c r="H136" s="2548"/>
      <c r="I136" s="422"/>
      <c r="J136" s="2546">
        <f>IF(((J133-0.1)*AW117)&gt;0,((J133-0.1)*AW117),0)</f>
        <v>0.40406735849773823</v>
      </c>
      <c r="K136" s="2547"/>
      <c r="L136" s="2547"/>
      <c r="M136" s="2548"/>
      <c r="N136" s="422"/>
      <c r="O136" s="2546">
        <f>IF(((O133-0.1)*AW118)&gt;0,((O133-0.1)*AW118),0)</f>
        <v>6.5615970195227122E-2</v>
      </c>
      <c r="P136" s="2547"/>
      <c r="Q136" s="2547"/>
      <c r="R136" s="2548"/>
      <c r="S136" s="422"/>
      <c r="T136" s="2546" t="e">
        <f>IF(((T133-0.1)*AW119)&gt;0,((T133-0.1)*AW119),0)</f>
        <v>#DIV/0!</v>
      </c>
      <c r="U136" s="2547"/>
      <c r="V136" s="2547"/>
      <c r="W136" s="2548"/>
      <c r="X136" s="422"/>
      <c r="Y136" s="2546" t="e">
        <f>IF(((Y133-0.1)*AW120)&gt;0,((Y133-0.1)*AW120),0)</f>
        <v>#DIV/0!</v>
      </c>
      <c r="Z136" s="2547"/>
      <c r="AA136" s="2547"/>
      <c r="AB136" s="2548"/>
      <c r="AC136" s="422"/>
      <c r="AD136" s="2546" t="e">
        <f>IF(((AD133-0.1)*AW121)&gt;0,((AD133-0.1)*AW121),0)</f>
        <v>#DIV/0!</v>
      </c>
      <c r="AE136" s="2547"/>
      <c r="AF136" s="2547"/>
      <c r="AG136" s="2548"/>
      <c r="AH136" s="422"/>
      <c r="AI136" s="422"/>
      <c r="AJ136" s="424"/>
      <c r="AK136" s="389"/>
      <c r="AL136" s="389"/>
      <c r="AM136" s="389"/>
      <c r="AN136" s="384"/>
      <c r="AO136" s="385">
        <f>Application!B752</f>
        <v>0</v>
      </c>
      <c r="AQ136" s="385">
        <f>Application!O752</f>
        <v>0</v>
      </c>
      <c r="AU136" s="796"/>
      <c r="AV136" s="796"/>
      <c r="AW136" s="796"/>
      <c r="AX136" s="797"/>
      <c r="AY136" s="796"/>
      <c r="AZ136" s="796"/>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796"/>
      <c r="AV137" s="796"/>
      <c r="AW137" s="796"/>
      <c r="AX137" s="796"/>
      <c r="AY137" s="796"/>
      <c r="AZ137" s="796"/>
    </row>
    <row r="138" spans="1:52" s="385" customFormat="1" ht="12.75" customHeight="1">
      <c r="A138" s="389"/>
      <c r="B138" s="388"/>
      <c r="C138" s="389"/>
      <c r="D138" s="389"/>
      <c r="E138" s="2338">
        <f>ROUNDDOWN(SUMIF(E136:AG136,"&gt;0"),2)</f>
        <v>0.46</v>
      </c>
      <c r="F138" s="2339"/>
      <c r="G138" s="2339"/>
      <c r="H138" s="2340"/>
      <c r="I138" s="422"/>
      <c r="J138" s="425" t="s">
        <v>2206</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796"/>
      <c r="AV138" s="796"/>
      <c r="AW138" s="796"/>
      <c r="AX138" s="797"/>
      <c r="AY138" s="796"/>
      <c r="AZ138" s="796"/>
    </row>
    <row r="139" spans="1:52" s="385" customFormat="1" ht="12.75" customHeight="1">
      <c r="A139" s="389"/>
      <c r="B139" s="388"/>
      <c r="C139" s="389"/>
      <c r="D139" s="389"/>
      <c r="E139" s="2518">
        <f>IF((E138*100)&gt;10,10,E138*100)</f>
        <v>10</v>
      </c>
      <c r="F139" s="2519"/>
      <c r="G139" s="2519"/>
      <c r="H139" s="2520"/>
      <c r="I139" s="422"/>
      <c r="J139" s="425" t="s">
        <v>2185</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796"/>
      <c r="AV139" s="796"/>
      <c r="AW139" s="796"/>
      <c r="AX139" s="796"/>
      <c r="AY139" s="796"/>
      <c r="AZ139" s="796"/>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2"/>
      <c r="AU140" s="796"/>
      <c r="AV140" s="796"/>
      <c r="AW140" s="797"/>
      <c r="AX140" s="796"/>
      <c r="AY140" s="796"/>
      <c r="AZ140" s="796"/>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796"/>
      <c r="AV141" s="796"/>
      <c r="AW141" s="796"/>
      <c r="AX141" s="796"/>
      <c r="AY141" s="796"/>
      <c r="AZ141" s="796"/>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2207</v>
      </c>
      <c r="AK143" s="2518">
        <f>E139</f>
        <v>10</v>
      </c>
      <c r="AL143" s="2519"/>
      <c r="AM143" s="2520"/>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132"/>
      <c r="J145" s="1132"/>
      <c r="K145" s="1132"/>
      <c r="L145" s="1132"/>
      <c r="M145" s="1132"/>
      <c r="N145" s="1132"/>
      <c r="O145" s="1132"/>
      <c r="P145" s="1132"/>
      <c r="Q145" s="1132"/>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2208</v>
      </c>
      <c r="AE146" s="2392" t="s">
        <v>2165</v>
      </c>
      <c r="AF146" s="2392"/>
      <c r="AG146" s="2392"/>
      <c r="AH146" s="2392"/>
      <c r="AI146" s="2392"/>
      <c r="AJ146" s="2392"/>
      <c r="AK146" s="2392"/>
      <c r="AL146" s="1129"/>
      <c r="AN146" s="435"/>
      <c r="AO146" s="385"/>
    </row>
    <row r="147" spans="1:42" s="388" customFormat="1" ht="13" customHeight="1">
      <c r="A147" s="387"/>
      <c r="AE147" s="1129"/>
      <c r="AF147" s="1129"/>
      <c r="AG147" s="1129"/>
      <c r="AH147" s="1129"/>
      <c r="AI147" s="1129"/>
      <c r="AJ147" s="1129"/>
      <c r="AK147" s="1129"/>
      <c r="AL147" s="1129"/>
      <c r="AN147" s="435"/>
    </row>
    <row r="148" spans="1:42" s="385" customFormat="1" ht="12.75" customHeight="1">
      <c r="A148" s="387"/>
      <c r="B148" s="387" t="s">
        <v>2209</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2452" t="s">
        <v>2210</v>
      </c>
      <c r="AG148" s="2452"/>
      <c r="AH148" s="2452"/>
      <c r="AI148" s="2452"/>
      <c r="AJ148" s="2452"/>
      <c r="AK148" s="2452"/>
      <c r="AL148" s="2452"/>
      <c r="AM148" s="388"/>
      <c r="AN148" s="384"/>
    </row>
    <row r="149" spans="1:42" s="385" customFormat="1" ht="12.75" customHeight="1">
      <c r="A149" s="387"/>
      <c r="B149" s="387" t="s">
        <v>1083</v>
      </c>
      <c r="C149" s="1121"/>
      <c r="D149" s="1121"/>
      <c r="E149" s="1121"/>
      <c r="F149" s="1121"/>
      <c r="G149" s="1121"/>
      <c r="H149" s="1121"/>
      <c r="I149" s="1121"/>
      <c r="J149" s="1121"/>
      <c r="K149" s="1121"/>
      <c r="L149" s="1121"/>
      <c r="M149" s="1121"/>
      <c r="N149" s="1121"/>
      <c r="O149" s="1121"/>
      <c r="P149" s="1121"/>
      <c r="Q149" s="1121"/>
      <c r="R149" s="1121"/>
      <c r="S149" s="1121"/>
      <c r="T149" s="1121"/>
      <c r="U149" s="1121"/>
      <c r="V149" s="1121"/>
      <c r="W149" s="1121"/>
      <c r="X149" s="1121"/>
      <c r="Y149" s="1121"/>
      <c r="Z149" s="1121"/>
      <c r="AA149" s="1121"/>
      <c r="AB149" s="1121"/>
      <c r="AC149" s="1121"/>
      <c r="AD149" s="388"/>
      <c r="AL149" s="1118"/>
      <c r="AM149" s="388"/>
      <c r="AN149" s="384"/>
    </row>
    <row r="150" spans="1:42" s="385" customFormat="1" ht="15" customHeight="1">
      <c r="A150" s="387"/>
      <c r="B150" s="2522" t="s">
        <v>668</v>
      </c>
      <c r="C150" s="2522"/>
      <c r="D150" s="2522"/>
      <c r="E150" s="2522"/>
      <c r="F150" s="2522"/>
      <c r="G150" s="2522"/>
      <c r="H150" s="2522"/>
      <c r="I150" s="2522"/>
      <c r="J150" s="2522"/>
      <c r="K150" s="2522"/>
      <c r="L150" s="2522"/>
      <c r="M150" s="2522"/>
      <c r="N150" s="2522"/>
      <c r="O150" s="2522"/>
      <c r="P150" s="2522"/>
      <c r="Q150" s="2522"/>
      <c r="R150" s="2522"/>
      <c r="S150" s="2522"/>
      <c r="T150" s="2522"/>
      <c r="U150" s="2522"/>
      <c r="V150" s="2522"/>
      <c r="W150" s="2522"/>
      <c r="X150" s="2522"/>
      <c r="Y150" s="2522"/>
      <c r="Z150" s="2522"/>
      <c r="AA150" s="2522"/>
      <c r="AB150" s="2522"/>
      <c r="AC150" s="2522"/>
      <c r="AD150" s="388"/>
      <c r="AE150" s="1118"/>
      <c r="AF150" s="1118"/>
      <c r="AG150" s="1118"/>
      <c r="AH150" s="1118"/>
      <c r="AI150" s="1118"/>
      <c r="AJ150" s="1118"/>
      <c r="AK150" s="1118"/>
      <c r="AL150" s="1118"/>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118"/>
      <c r="AF151" s="1118"/>
      <c r="AG151" s="1118"/>
      <c r="AH151" s="1118"/>
      <c r="AI151" s="1118"/>
      <c r="AJ151" s="1118"/>
      <c r="AK151" s="1118"/>
      <c r="AL151" s="1118"/>
      <c r="AM151" s="388"/>
      <c r="AN151" s="384"/>
      <c r="AO151" s="1057" t="s">
        <v>478</v>
      </c>
      <c r="AP151" s="393"/>
    </row>
    <row r="152" spans="1:42" s="385" customFormat="1" ht="12.75" customHeight="1">
      <c r="A152" s="387"/>
      <c r="B152" s="388" t="s">
        <v>2211</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2212</v>
      </c>
      <c r="AP152" s="342">
        <v>5</v>
      </c>
    </row>
    <row r="153" spans="1:42" s="385" customFormat="1" ht="12.75" customHeight="1">
      <c r="A153" s="387"/>
      <c r="B153" s="2523" t="s">
        <v>2213</v>
      </c>
      <c r="C153" s="2523"/>
      <c r="D153" s="2523"/>
      <c r="E153" s="2523"/>
      <c r="F153" s="2523"/>
      <c r="G153" s="2523"/>
      <c r="H153" s="2523"/>
      <c r="I153" s="2523"/>
      <c r="J153" s="2523"/>
      <c r="K153" s="2523"/>
      <c r="L153" s="2523"/>
      <c r="M153" s="2523"/>
      <c r="N153" s="2523"/>
      <c r="O153" s="2523"/>
      <c r="P153" s="2523"/>
      <c r="Q153" s="2523"/>
      <c r="R153" s="2523"/>
      <c r="S153" s="2523"/>
      <c r="T153" s="2523"/>
      <c r="U153" s="2523"/>
      <c r="V153" s="2523"/>
      <c r="W153" s="2523"/>
      <c r="X153" s="2523"/>
      <c r="Y153" s="2523"/>
      <c r="Z153" s="2523"/>
      <c r="AA153" s="2523"/>
      <c r="AB153" s="2523"/>
      <c r="AC153" s="2523"/>
      <c r="AD153" s="2523"/>
      <c r="AE153" s="2523"/>
      <c r="AF153" s="2523"/>
      <c r="AG153" s="2523"/>
      <c r="AH153" s="2523"/>
      <c r="AI153" s="2523"/>
      <c r="AM153" s="388"/>
      <c r="AN153" s="384"/>
      <c r="AO153" s="332" t="s">
        <v>2213</v>
      </c>
      <c r="AP153" s="342">
        <v>7</v>
      </c>
    </row>
    <row r="154" spans="1:42" s="385" customFormat="1" ht="13" customHeight="1">
      <c r="A154" s="387"/>
      <c r="B154" s="1121"/>
      <c r="C154" s="1121"/>
      <c r="D154" s="1121"/>
      <c r="E154" s="1121"/>
      <c r="F154" s="1121"/>
      <c r="G154" s="1121"/>
      <c r="H154" s="1121"/>
      <c r="I154" s="1121"/>
      <c r="J154" s="1121"/>
      <c r="K154" s="1121"/>
      <c r="L154" s="1121"/>
      <c r="M154" s="1121"/>
      <c r="N154" s="1121"/>
      <c r="O154" s="1121"/>
      <c r="P154" s="1121"/>
      <c r="Q154" s="1121"/>
      <c r="R154" s="1121"/>
      <c r="S154" s="1121"/>
      <c r="T154" s="1121"/>
      <c r="U154" s="1121"/>
      <c r="V154" s="1121"/>
      <c r="W154" s="1121"/>
      <c r="X154" s="1121"/>
      <c r="Y154" s="1121"/>
      <c r="Z154" s="1121"/>
      <c r="AA154" s="1121"/>
      <c r="AB154" s="1121"/>
      <c r="AC154" s="1121"/>
      <c r="AD154" s="1129"/>
      <c r="AM154" s="388"/>
      <c r="AN154" s="384"/>
      <c r="AO154" s="332" t="s">
        <v>2214</v>
      </c>
      <c r="AP154" s="342">
        <v>7</v>
      </c>
    </row>
    <row r="155" spans="1:42" s="385" customFormat="1" ht="12.75" customHeight="1">
      <c r="A155" s="387"/>
      <c r="B155" s="388" t="s">
        <v>2215</v>
      </c>
      <c r="AB155" s="2324" t="s">
        <v>800</v>
      </c>
      <c r="AC155" s="2324"/>
      <c r="AD155" s="1129"/>
      <c r="AM155" s="388"/>
      <c r="AN155" s="384"/>
      <c r="AO155" s="332"/>
      <c r="AP155" s="332"/>
    </row>
    <row r="156" spans="1:42" s="385" customFormat="1" ht="9" customHeight="1">
      <c r="A156" s="387"/>
      <c r="B156" s="1121"/>
      <c r="C156" s="1121"/>
      <c r="D156" s="1121"/>
      <c r="E156" s="1121"/>
      <c r="F156" s="1121"/>
      <c r="G156" s="1121"/>
      <c r="H156" s="1121"/>
      <c r="I156" s="1121"/>
      <c r="J156" s="1121"/>
      <c r="K156" s="1121"/>
      <c r="L156" s="1121"/>
      <c r="M156" s="1121"/>
      <c r="N156" s="1121"/>
      <c r="O156" s="1121"/>
      <c r="P156" s="1121"/>
      <c r="Q156" s="1121"/>
      <c r="R156" s="1121"/>
      <c r="S156" s="1121"/>
      <c r="T156" s="1121"/>
      <c r="U156" s="1121"/>
      <c r="V156" s="1121"/>
      <c r="W156" s="1121"/>
      <c r="X156" s="1121"/>
      <c r="Y156" s="1121"/>
      <c r="Z156" s="1121"/>
      <c r="AA156" s="1121"/>
      <c r="AB156" s="1121"/>
      <c r="AC156" s="1121"/>
      <c r="AD156" s="1129"/>
      <c r="AM156" s="388"/>
      <c r="AN156" s="384"/>
      <c r="AO156" s="1057" t="s">
        <v>2216</v>
      </c>
      <c r="AP156" s="342"/>
    </row>
    <row r="157" spans="1:42" s="385" customFormat="1" ht="12.75" customHeight="1">
      <c r="A157" s="387"/>
      <c r="B157" s="387" t="s">
        <v>2217</v>
      </c>
      <c r="C157" s="1121"/>
      <c r="D157" s="1121"/>
      <c r="E157" s="1121"/>
      <c r="F157" s="1121"/>
      <c r="G157" s="1121"/>
      <c r="H157" s="1121"/>
      <c r="I157" s="1121"/>
      <c r="J157" s="1121"/>
      <c r="K157" s="1121"/>
      <c r="L157" s="1121"/>
      <c r="M157" s="1121"/>
      <c r="N157" s="1121"/>
      <c r="O157" s="1121"/>
      <c r="P157" s="1121"/>
      <c r="Q157" s="1121"/>
      <c r="R157" s="1121"/>
      <c r="S157" s="1121"/>
      <c r="T157" s="1121"/>
      <c r="U157" s="1121"/>
      <c r="V157" s="1121"/>
      <c r="W157" s="1121"/>
      <c r="X157" s="1121"/>
      <c r="Y157" s="1121"/>
      <c r="Z157" s="1121"/>
      <c r="AA157" s="1121"/>
      <c r="AB157" s="1121"/>
      <c r="AC157" s="1121"/>
      <c r="AD157" s="1129"/>
      <c r="AM157" s="388"/>
      <c r="AN157" s="384"/>
      <c r="AO157" s="332" t="s">
        <v>2218</v>
      </c>
      <c r="AP157" s="342">
        <v>5</v>
      </c>
    </row>
    <row r="158" spans="1:42" s="385" customFormat="1" ht="12.75" customHeight="1">
      <c r="A158" s="387"/>
      <c r="B158" s="2523" t="s">
        <v>2216</v>
      </c>
      <c r="C158" s="2523"/>
      <c r="D158" s="2523"/>
      <c r="E158" s="2523"/>
      <c r="F158" s="2523"/>
      <c r="G158" s="2523"/>
      <c r="H158" s="2523"/>
      <c r="I158" s="2523"/>
      <c r="J158" s="2523"/>
      <c r="K158" s="2523"/>
      <c r="L158" s="2523"/>
      <c r="M158" s="2523"/>
      <c r="N158" s="2523"/>
      <c r="O158" s="2523"/>
      <c r="P158" s="2523"/>
      <c r="Q158" s="2523"/>
      <c r="R158" s="2523"/>
      <c r="S158" s="2523"/>
      <c r="T158" s="2523"/>
      <c r="U158" s="2523"/>
      <c r="V158" s="2523"/>
      <c r="W158" s="2523"/>
      <c r="X158" s="2523"/>
      <c r="Y158" s="2523"/>
      <c r="Z158" s="2523"/>
      <c r="AA158" s="2523"/>
      <c r="AB158" s="2523"/>
      <c r="AC158" s="2523"/>
      <c r="AD158" s="2523"/>
      <c r="AE158" s="2523"/>
      <c r="AF158" s="2523"/>
      <c r="AG158" s="2523"/>
      <c r="AH158" s="2523"/>
      <c r="AI158" s="2523"/>
      <c r="AJ158" s="2523"/>
      <c r="AN158" s="384"/>
      <c r="AO158" s="332" t="s">
        <v>2219</v>
      </c>
      <c r="AP158" s="342">
        <v>7</v>
      </c>
    </row>
    <row r="159" spans="1:42" s="385" customFormat="1" ht="12.75" customHeight="1">
      <c r="B159" s="388" t="s">
        <v>2220</v>
      </c>
      <c r="C159" s="1121"/>
      <c r="D159" s="1121"/>
      <c r="E159" s="1121"/>
      <c r="F159" s="1121"/>
      <c r="G159" s="1121"/>
      <c r="H159" s="1121"/>
      <c r="I159" s="1121"/>
      <c r="J159" s="1121"/>
      <c r="K159" s="1121"/>
      <c r="L159" s="1121"/>
      <c r="M159" s="1121"/>
      <c r="N159" s="1121"/>
      <c r="O159" s="1121"/>
      <c r="P159" s="1121"/>
      <c r="Q159" s="1121"/>
      <c r="R159" s="1121"/>
      <c r="S159" s="1121"/>
      <c r="T159" s="1121"/>
      <c r="U159" s="1121"/>
      <c r="AM159" s="388"/>
      <c r="AN159" s="384"/>
      <c r="AO159" s="332"/>
      <c r="AP159" s="342"/>
    </row>
    <row r="160" spans="1:42" s="385" customFormat="1" ht="12.75" customHeight="1">
      <c r="B160" s="388"/>
      <c r="C160" s="1121"/>
      <c r="D160" s="1121"/>
      <c r="E160" s="1121"/>
      <c r="F160" s="1121"/>
      <c r="G160" s="1121"/>
      <c r="H160" s="1121"/>
      <c r="I160" s="1121"/>
      <c r="J160" s="1121"/>
      <c r="K160" s="1121"/>
      <c r="L160" s="1121"/>
      <c r="M160" s="1121"/>
      <c r="N160" s="1121"/>
      <c r="O160" s="1121"/>
      <c r="P160" s="1121"/>
      <c r="Q160" s="1121"/>
      <c r="R160" s="1121"/>
      <c r="S160" s="1121"/>
      <c r="T160" s="1121"/>
      <c r="U160" s="1121"/>
      <c r="AM160" s="388"/>
      <c r="AN160" s="384"/>
      <c r="AO160" s="332"/>
      <c r="AP160" s="342"/>
    </row>
    <row r="161" spans="1:42" s="385" customFormat="1" ht="12.75" customHeight="1">
      <c r="B161" s="2321" t="s">
        <v>2221</v>
      </c>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958"/>
      <c r="AM161" s="388"/>
      <c r="AN161" s="384"/>
      <c r="AO161" s="332"/>
      <c r="AP161" s="342"/>
    </row>
    <row r="162" spans="1:42" s="385" customFormat="1" ht="12.75" customHeight="1">
      <c r="B162" s="2321"/>
      <c r="C162" s="2321"/>
      <c r="D162" s="2321"/>
      <c r="E162" s="2321"/>
      <c r="F162" s="2321"/>
      <c r="G162" s="2321"/>
      <c r="H162" s="2321"/>
      <c r="I162" s="2321"/>
      <c r="J162" s="2321"/>
      <c r="K162" s="2321"/>
      <c r="L162" s="2321"/>
      <c r="M162" s="2321"/>
      <c r="N162" s="2321"/>
      <c r="O162" s="2321"/>
      <c r="P162" s="2321"/>
      <c r="Q162" s="2321"/>
      <c r="R162" s="2321"/>
      <c r="S162" s="2321"/>
      <c r="T162" s="2321"/>
      <c r="U162" s="2321"/>
      <c r="V162" s="2321"/>
      <c r="W162" s="2321"/>
      <c r="X162" s="2321"/>
      <c r="Y162" s="2321"/>
      <c r="Z162" s="2321"/>
      <c r="AA162" s="2321"/>
      <c r="AB162" s="2321"/>
      <c r="AC162" s="2321"/>
      <c r="AD162" s="2321"/>
      <c r="AE162" s="2321"/>
      <c r="AF162" s="2321"/>
      <c r="AG162" s="2321"/>
      <c r="AH162" s="2321"/>
      <c r="AI162" s="2321"/>
      <c r="AJ162" s="2321"/>
      <c r="AK162" s="958"/>
      <c r="AM162" s="388"/>
      <c r="AN162" s="384"/>
      <c r="AO162" s="332"/>
      <c r="AP162" s="342"/>
    </row>
    <row r="163" spans="1:42" s="385" customFormat="1" ht="12.75" customHeight="1">
      <c r="C163" s="2322" t="s">
        <v>2222</v>
      </c>
      <c r="D163" s="2322"/>
      <c r="E163" s="2322"/>
      <c r="F163" s="2322"/>
      <c r="G163" s="2322"/>
      <c r="H163" s="2322"/>
      <c r="I163" s="2322"/>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2"/>
      <c r="AD163" s="2322"/>
      <c r="AE163" s="2322"/>
      <c r="AF163" s="2322"/>
      <c r="AG163" s="2322"/>
      <c r="AH163" s="2322"/>
      <c r="AI163" s="2322"/>
      <c r="AJ163" s="2322"/>
      <c r="AK163" s="958"/>
      <c r="AM163" s="388"/>
      <c r="AN163" s="384"/>
      <c r="AO163" s="332"/>
      <c r="AP163" s="342"/>
    </row>
    <row r="164" spans="1:42" s="385" customFormat="1" ht="12.75" customHeight="1">
      <c r="B164" s="958"/>
      <c r="C164" s="2323" t="s">
        <v>2223</v>
      </c>
      <c r="D164" s="2323"/>
      <c r="E164" s="2323"/>
      <c r="F164" s="2323"/>
      <c r="G164" s="2323"/>
      <c r="H164" s="2323"/>
      <c r="I164" s="2323"/>
      <c r="J164" s="2323"/>
      <c r="K164" s="2323"/>
      <c r="L164" s="2323"/>
      <c r="M164" s="2323"/>
      <c r="N164" s="2323"/>
      <c r="O164" s="2323"/>
      <c r="P164" s="2323"/>
      <c r="Q164" s="2323"/>
      <c r="R164" s="2323"/>
      <c r="S164" s="2323"/>
      <c r="T164" s="2323"/>
      <c r="U164" s="2323"/>
      <c r="V164" s="2323"/>
      <c r="W164" s="2323"/>
      <c r="X164" s="2323"/>
      <c r="Y164" s="2323"/>
      <c r="Z164" s="2323"/>
      <c r="AA164" s="1136"/>
      <c r="AB164" s="1136"/>
      <c r="AC164" s="1136"/>
      <c r="AD164" s="1136"/>
      <c r="AE164" s="1136"/>
      <c r="AF164" s="1136"/>
      <c r="AG164" s="1136"/>
      <c r="AH164" s="1136"/>
      <c r="AJ164" s="2324" t="s">
        <v>800</v>
      </c>
      <c r="AK164" s="2324"/>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2224</v>
      </c>
      <c r="AJ166" s="2412">
        <f>IF($AB$155="N/A",VLOOKUP($B$153,$AO$151:$AP$154,2,FALSE),VLOOKUP($B$158,$AO$156:$AP$158,2,FALSE))</f>
        <v>7</v>
      </c>
      <c r="AK166" s="2412"/>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2225</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452" t="s">
        <v>2226</v>
      </c>
      <c r="AG168" s="2452"/>
      <c r="AH168" s="2452"/>
      <c r="AI168" s="2452"/>
      <c r="AJ168" s="2452"/>
      <c r="AK168" s="2452"/>
      <c r="AL168" s="2452"/>
      <c r="AM168" s="445"/>
      <c r="AN168" s="440"/>
    </row>
    <row r="169" spans="1:42" s="398" customFormat="1" ht="12.75" customHeight="1">
      <c r="A169" s="385"/>
      <c r="B169" s="388" t="s">
        <v>2227</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2523" t="s">
        <v>2228</v>
      </c>
      <c r="D170" s="2523"/>
      <c r="E170" s="2523"/>
      <c r="F170" s="2523"/>
      <c r="G170" s="2523"/>
      <c r="H170" s="2523"/>
      <c r="I170" s="2523"/>
      <c r="J170" s="2523"/>
      <c r="K170" s="2523"/>
      <c r="L170" s="2523"/>
      <c r="M170" s="2523"/>
      <c r="N170" s="2523"/>
      <c r="O170" s="2523"/>
      <c r="P170" s="2523"/>
      <c r="Q170" s="2523"/>
      <c r="R170" s="2523"/>
      <c r="S170" s="2523"/>
      <c r="T170" s="2523"/>
      <c r="U170" s="2523"/>
      <c r="V170" s="2523"/>
      <c r="W170" s="2523"/>
      <c r="X170" s="2523"/>
      <c r="Y170" s="2523"/>
      <c r="Z170" s="2523"/>
      <c r="AA170" s="2523"/>
      <c r="AB170" s="2523"/>
      <c r="AC170" s="2523"/>
      <c r="AD170" s="2523"/>
      <c r="AE170" s="2523"/>
      <c r="AF170" s="2523"/>
      <c r="AG170" s="2523"/>
      <c r="AH170" s="2523"/>
      <c r="AI170" s="2523"/>
      <c r="AJ170" s="385"/>
      <c r="AK170" s="385"/>
      <c r="AL170" s="385"/>
      <c r="AM170" s="445"/>
      <c r="AN170" s="439"/>
      <c r="AO170" s="332" t="s">
        <v>478</v>
      </c>
      <c r="AP170" s="332"/>
    </row>
    <row r="171" spans="1:42" s="398" customFormat="1" ht="13" customHeight="1">
      <c r="A171" s="385"/>
      <c r="B171" s="385"/>
      <c r="C171" s="1121"/>
      <c r="D171" s="1121"/>
      <c r="E171" s="1121"/>
      <c r="F171" s="1121"/>
      <c r="G171" s="1121"/>
      <c r="H171" s="1121"/>
      <c r="I171" s="1121"/>
      <c r="J171" s="1121"/>
      <c r="K171" s="1121"/>
      <c r="L171" s="1121"/>
      <c r="M171" s="1121"/>
      <c r="N171" s="1121"/>
      <c r="O171" s="1121"/>
      <c r="P171" s="1121"/>
      <c r="Q171" s="1121"/>
      <c r="R171" s="1121"/>
      <c r="S171" s="1121"/>
      <c r="T171" s="1121"/>
      <c r="U171" s="1121"/>
      <c r="V171" s="1121"/>
      <c r="W171" s="1121"/>
      <c r="X171" s="1121"/>
      <c r="Y171" s="1121"/>
      <c r="Z171" s="1121"/>
      <c r="AA171" s="1121"/>
      <c r="AB171" s="1121"/>
      <c r="AC171" s="1121"/>
      <c r="AD171" s="1121"/>
      <c r="AE171" s="385"/>
      <c r="AF171" s="385"/>
      <c r="AG171" s="385"/>
      <c r="AH171" s="385"/>
      <c r="AI171" s="385"/>
      <c r="AJ171" s="385"/>
      <c r="AK171" s="385"/>
      <c r="AL171" s="385"/>
      <c r="AM171" s="445"/>
      <c r="AN171" s="439"/>
      <c r="AO171" s="332" t="s">
        <v>2229</v>
      </c>
      <c r="AP171" s="441">
        <v>2</v>
      </c>
    </row>
    <row r="172" spans="1:42" s="398" customFormat="1" ht="12.75" customHeight="1">
      <c r="A172" s="385"/>
      <c r="B172" s="385"/>
      <c r="C172" s="388" t="s">
        <v>2230</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324" t="s">
        <v>800</v>
      </c>
      <c r="AG172" s="2324"/>
      <c r="AH172" s="385"/>
      <c r="AI172" s="385"/>
      <c r="AJ172" s="385"/>
      <c r="AK172" s="385"/>
      <c r="AL172" s="385"/>
      <c r="AM172" s="445"/>
      <c r="AN172" s="439"/>
      <c r="AO172" s="332" t="s">
        <v>2228</v>
      </c>
      <c r="AP172" s="441">
        <v>3</v>
      </c>
    </row>
    <row r="173" spans="1:42" s="398" customFormat="1" ht="9" customHeight="1">
      <c r="A173" s="385"/>
      <c r="B173" s="385"/>
      <c r="C173" s="1121"/>
      <c r="D173" s="1121"/>
      <c r="E173" s="1121"/>
      <c r="F173" s="1121"/>
      <c r="G173" s="1121"/>
      <c r="H173" s="1121"/>
      <c r="I173" s="1121"/>
      <c r="J173" s="1121"/>
      <c r="K173" s="1121"/>
      <c r="L173" s="1121"/>
      <c r="M173" s="1121"/>
      <c r="N173" s="1121"/>
      <c r="O173" s="1121"/>
      <c r="P173" s="1121"/>
      <c r="Q173" s="1121"/>
      <c r="R173" s="1121"/>
      <c r="S173" s="1121"/>
      <c r="T173" s="1121"/>
      <c r="U173" s="1121"/>
      <c r="V173" s="1121"/>
      <c r="W173" s="1121"/>
      <c r="X173" s="1121"/>
      <c r="Y173" s="1121"/>
      <c r="Z173" s="1121"/>
      <c r="AA173" s="1121"/>
      <c r="AB173" s="1121"/>
      <c r="AC173" s="1121"/>
      <c r="AD173" s="1121"/>
      <c r="AE173" s="385"/>
      <c r="AF173" s="385"/>
      <c r="AG173" s="385"/>
      <c r="AJ173" s="385"/>
      <c r="AK173" s="385"/>
      <c r="AL173" s="385"/>
      <c r="AM173" s="445"/>
      <c r="AN173" s="439"/>
      <c r="AO173" s="444" t="s">
        <v>2231</v>
      </c>
      <c r="AP173" s="441">
        <v>3</v>
      </c>
    </row>
    <row r="174" spans="1:42" s="398" customFormat="1" ht="12.75" customHeight="1">
      <c r="A174" s="385"/>
      <c r="B174" s="385"/>
      <c r="C174" s="2523" t="s">
        <v>2216</v>
      </c>
      <c r="D174" s="2523"/>
      <c r="E174" s="2523"/>
      <c r="F174" s="2523"/>
      <c r="G174" s="2523"/>
      <c r="H174" s="2523"/>
      <c r="I174" s="2523"/>
      <c r="J174" s="2523"/>
      <c r="K174" s="2523"/>
      <c r="L174" s="2523"/>
      <c r="M174" s="2523"/>
      <c r="N174" s="2523"/>
      <c r="O174" s="2523"/>
      <c r="P174" s="2523"/>
      <c r="Q174" s="2523"/>
      <c r="R174" s="2523"/>
      <c r="S174" s="2523"/>
      <c r="T174" s="2523"/>
      <c r="U174" s="2523"/>
      <c r="V174" s="2523"/>
      <c r="W174" s="2523"/>
      <c r="X174" s="2523"/>
      <c r="Y174" s="2523"/>
      <c r="Z174" s="2523"/>
      <c r="AA174" s="2523"/>
      <c r="AB174" s="2523"/>
      <c r="AC174" s="2523"/>
      <c r="AD174" s="2523"/>
      <c r="AE174" s="385"/>
      <c r="AF174" s="385"/>
      <c r="AG174" s="385"/>
      <c r="AH174" s="385"/>
      <c r="AI174" s="385"/>
      <c r="AJ174" s="385"/>
      <c r="AK174" s="385"/>
      <c r="AL174" s="385"/>
      <c r="AM174" s="445"/>
      <c r="AN174" s="439"/>
      <c r="AO174" s="444"/>
      <c r="AP174" s="441"/>
    </row>
    <row r="175" spans="1:42" s="398" customFormat="1" ht="12.75" customHeight="1">
      <c r="A175" s="385"/>
      <c r="B175" s="385"/>
      <c r="C175" s="388" t="s">
        <v>2220</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2232</v>
      </c>
      <c r="D177" s="1121"/>
      <c r="E177" s="1121"/>
      <c r="F177" s="1121"/>
      <c r="G177" s="1121"/>
      <c r="H177" s="1121"/>
      <c r="I177" s="1121"/>
      <c r="J177" s="1121"/>
      <c r="K177" s="1121"/>
      <c r="L177" s="1121"/>
      <c r="M177" s="1121"/>
      <c r="N177" s="1121"/>
      <c r="O177" s="1121"/>
      <c r="P177" s="1121"/>
      <c r="Q177" s="1121"/>
      <c r="R177" s="1121"/>
      <c r="S177" s="1121"/>
      <c r="T177" s="1121"/>
      <c r="U177" s="1121"/>
      <c r="V177" s="1121"/>
      <c r="W177" s="1121"/>
      <c r="X177" s="1121"/>
      <c r="Y177" s="1121"/>
      <c r="Z177" s="1121"/>
      <c r="AA177" s="1121"/>
      <c r="AB177" s="1121"/>
      <c r="AC177" s="1121"/>
      <c r="AD177" s="1121"/>
      <c r="AE177" s="385"/>
      <c r="AF177" s="385"/>
      <c r="AG177" s="385"/>
      <c r="AH177" s="385"/>
      <c r="AI177" s="385"/>
      <c r="AJ177" s="385"/>
      <c r="AK177" s="385"/>
      <c r="AL177" s="385"/>
      <c r="AM177" s="445"/>
      <c r="AN177" s="439"/>
      <c r="AO177" s="332" t="s">
        <v>2216</v>
      </c>
      <c r="AP177" s="332"/>
    </row>
    <row r="178" spans="1:73" s="398" customFormat="1" ht="12.75" customHeight="1">
      <c r="A178" s="385"/>
      <c r="B178" s="385"/>
      <c r="C178" s="2524" t="str">
        <f>Application!AA335</f>
        <v>AWI Management Corporation</v>
      </c>
      <c r="D178" s="2524"/>
      <c r="E178" s="2524"/>
      <c r="F178" s="2524"/>
      <c r="G178" s="2524"/>
      <c r="H178" s="2524"/>
      <c r="I178" s="2524"/>
      <c r="J178" s="2524"/>
      <c r="K178" s="2524"/>
      <c r="L178" s="2524"/>
      <c r="M178" s="2524"/>
      <c r="N178" s="2524"/>
      <c r="O178" s="2524"/>
      <c r="P178" s="2524"/>
      <c r="Q178" s="2524"/>
      <c r="R178" s="2524"/>
      <c r="S178" s="2524"/>
      <c r="T178" s="2524"/>
      <c r="U178" s="2524"/>
      <c r="V178" s="2524"/>
      <c r="W178" s="2524"/>
      <c r="X178" s="2524"/>
      <c r="Y178" s="2524"/>
      <c r="Z178" s="2524"/>
      <c r="AA178" s="2524"/>
      <c r="AB178" s="2524"/>
      <c r="AC178" s="2524"/>
      <c r="AD178" s="2524"/>
      <c r="AE178" s="385"/>
      <c r="AF178" s="385"/>
      <c r="AG178" s="385"/>
      <c r="AH178" s="385"/>
      <c r="AI178" s="385"/>
      <c r="AJ178" s="385"/>
      <c r="AK178" s="385"/>
      <c r="AL178" s="385"/>
      <c r="AM178" s="445"/>
      <c r="AN178" s="439"/>
      <c r="AO178" s="332" t="s">
        <v>2233</v>
      </c>
      <c r="AP178" s="441">
        <v>2</v>
      </c>
    </row>
    <row r="179" spans="1:73" s="398" customFormat="1" ht="12.75" customHeight="1">
      <c r="A179" s="385"/>
      <c r="B179" s="385"/>
      <c r="C179" s="1121"/>
      <c r="D179" s="1121"/>
      <c r="E179" s="1121"/>
      <c r="F179" s="1121"/>
      <c r="G179" s="1121"/>
      <c r="H179" s="1121"/>
      <c r="I179" s="1121"/>
      <c r="J179" s="1121"/>
      <c r="K179" s="1121"/>
      <c r="L179" s="1121"/>
      <c r="M179" s="1121"/>
      <c r="N179" s="1121"/>
      <c r="O179" s="1121"/>
      <c r="P179" s="1121"/>
      <c r="Q179" s="1121"/>
      <c r="R179" s="1121"/>
      <c r="S179" s="1121"/>
      <c r="T179" s="1121"/>
      <c r="U179" s="1121"/>
      <c r="V179" s="1121"/>
      <c r="W179" s="1121"/>
      <c r="X179" s="1121"/>
      <c r="Y179" s="1121"/>
      <c r="Z179" s="1121"/>
      <c r="AA179" s="1121"/>
      <c r="AB179" s="1121"/>
      <c r="AC179" s="1121"/>
      <c r="AD179" s="1121"/>
      <c r="AE179" s="385"/>
      <c r="AF179" s="385"/>
      <c r="AG179" s="385"/>
      <c r="AH179" s="385"/>
      <c r="AI179" s="385"/>
      <c r="AJ179" s="385"/>
      <c r="AK179" s="385"/>
      <c r="AL179" s="385"/>
      <c r="AM179" s="445"/>
      <c r="AN179" s="439"/>
      <c r="AO179" s="332" t="s">
        <v>2234</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2235</v>
      </c>
      <c r="AJ180" s="2411">
        <f>IF($AF$172="N/A",VLOOKUP($C$170,$AO$170:$AP$173,2,FALSE),VLOOKUP($C$174,$AO$177:$AP$179,2,FALSE))</f>
        <v>3</v>
      </c>
      <c r="AK180" s="2411"/>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2236</v>
      </c>
      <c r="AK183" s="2518">
        <f>$AJ$166+$AJ$180</f>
        <v>10</v>
      </c>
      <c r="AL183" s="2519"/>
      <c r="AM183" s="2520"/>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132"/>
      <c r="J185" s="1132"/>
      <c r="K185" s="1132"/>
      <c r="L185" s="1132"/>
      <c r="M185" s="1132"/>
      <c r="N185" s="1132"/>
      <c r="O185" s="1132"/>
      <c r="P185" s="1132"/>
      <c r="Q185" s="1132"/>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2237</v>
      </c>
      <c r="AQ185" s="453">
        <v>0</v>
      </c>
    </row>
    <row r="186" spans="1:73" s="398" customFormat="1" ht="12.75" customHeight="1">
      <c r="A186" s="387" t="s">
        <v>2238</v>
      </c>
      <c r="B186" s="387" t="s">
        <v>2239</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139"/>
      <c r="Z186" s="1139"/>
      <c r="AA186" s="1139"/>
      <c r="AB186" s="1139"/>
      <c r="AC186" s="385"/>
      <c r="AD186" s="385"/>
      <c r="AE186" s="2392" t="s">
        <v>2165</v>
      </c>
      <c r="AF186" s="2392"/>
      <c r="AG186" s="2392"/>
      <c r="AH186" s="2392"/>
      <c r="AI186" s="2392"/>
      <c r="AJ186" s="2392"/>
      <c r="AK186" s="2392"/>
      <c r="AL186" s="1129"/>
      <c r="AN186" s="439"/>
      <c r="AP186" s="398" t="s">
        <v>939</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139"/>
      <c r="S187" s="1139"/>
      <c r="T187" s="1139"/>
      <c r="U187" s="1139"/>
      <c r="V187" s="1139"/>
      <c r="W187" s="1139"/>
      <c r="X187" s="1139"/>
      <c r="Y187" s="1139"/>
      <c r="Z187" s="1139"/>
      <c r="AA187" s="1139"/>
      <c r="AB187" s="1139"/>
      <c r="AC187" s="1129"/>
      <c r="AD187" s="1129"/>
      <c r="AE187" s="385"/>
      <c r="AF187" s="385"/>
      <c r="AG187" s="385"/>
      <c r="AH187" s="385"/>
      <c r="AI187" s="385"/>
      <c r="AJ187" s="385"/>
      <c r="AK187" s="385"/>
      <c r="AL187" s="385"/>
      <c r="AN187" s="439"/>
      <c r="AP187" s="398" t="s">
        <v>2240</v>
      </c>
      <c r="AQ187" s="398">
        <v>10</v>
      </c>
    </row>
    <row r="188" spans="1:73" s="398" customFormat="1" ht="12.75" customHeight="1">
      <c r="A188" s="385"/>
      <c r="B188" s="2521" t="s">
        <v>2240</v>
      </c>
      <c r="C188" s="2521"/>
      <c r="D188" s="2521"/>
      <c r="E188" s="2521"/>
      <c r="F188" s="2521"/>
      <c r="G188" s="2521"/>
      <c r="H188" s="2521"/>
      <c r="I188" s="2521"/>
      <c r="J188" s="2521"/>
      <c r="K188" s="2521"/>
      <c r="L188" s="2521"/>
      <c r="M188" s="2521"/>
      <c r="N188" s="2521"/>
      <c r="O188" s="2521"/>
      <c r="P188" s="2521"/>
      <c r="Q188" s="2521"/>
      <c r="R188" s="2521"/>
      <c r="S188" s="2521"/>
      <c r="T188" s="2521"/>
      <c r="U188" s="2521"/>
      <c r="V188" s="2521"/>
      <c r="W188" s="2521"/>
      <c r="X188" s="2521"/>
      <c r="Y188" s="2521"/>
      <c r="Z188" s="2521"/>
      <c r="AA188" s="2521"/>
      <c r="AB188" s="2521"/>
      <c r="AC188" s="2521"/>
      <c r="AD188" s="385"/>
      <c r="AE188" s="385"/>
      <c r="AF188" s="2452" t="s">
        <v>2241</v>
      </c>
      <c r="AG188" s="2452"/>
      <c r="AH188" s="2452"/>
      <c r="AI188" s="2452"/>
      <c r="AJ188" s="2452"/>
      <c r="AK188" s="2452"/>
      <c r="AL188" s="2452"/>
      <c r="AN188" s="439"/>
      <c r="AP188" s="398" t="s">
        <v>947</v>
      </c>
      <c r="AQ188" s="398">
        <v>10</v>
      </c>
    </row>
    <row r="189" spans="1:73" s="398" customFormat="1" ht="12.75" customHeight="1">
      <c r="A189" s="385"/>
      <c r="B189" s="2323" t="s">
        <v>2242</v>
      </c>
      <c r="C189" s="2323"/>
      <c r="D189" s="2323"/>
      <c r="E189" s="2323"/>
      <c r="F189" s="2323"/>
      <c r="G189" s="2323"/>
      <c r="H189" s="2323"/>
      <c r="I189" s="2323"/>
      <c r="J189" s="2323"/>
      <c r="K189" s="2323"/>
      <c r="L189" s="2323"/>
      <c r="M189" s="2323"/>
      <c r="N189" s="2323"/>
      <c r="O189" s="2323"/>
      <c r="P189" s="2323"/>
      <c r="Q189" s="2323"/>
      <c r="R189" s="2323"/>
      <c r="S189" s="2323"/>
      <c r="T189" s="2522" t="s">
        <v>800</v>
      </c>
      <c r="U189" s="2522"/>
      <c r="V189" s="2522"/>
      <c r="W189" s="2522"/>
      <c r="X189" s="2522"/>
      <c r="Y189" s="2522"/>
      <c r="Z189" s="2522"/>
      <c r="AA189" s="2522"/>
      <c r="AB189" s="2522"/>
      <c r="AC189" s="2522"/>
      <c r="AD189" s="385"/>
      <c r="AE189" s="385"/>
      <c r="AF189" s="385"/>
      <c r="AG189" s="385"/>
      <c r="AH189" s="385"/>
      <c r="AI189" s="385"/>
      <c r="AJ189" s="1112"/>
      <c r="AK189" s="437"/>
      <c r="AL189" s="437"/>
      <c r="AM189" s="437"/>
      <c r="AN189" s="439"/>
      <c r="AP189" s="398" t="s">
        <v>948</v>
      </c>
      <c r="AQ189" s="398">
        <v>10</v>
      </c>
      <c r="AS189" s="398" t="s">
        <v>800</v>
      </c>
    </row>
    <row r="190" spans="1:73" s="398" customFormat="1" ht="12.75" customHeight="1">
      <c r="A190" s="385"/>
      <c r="B190" s="1121"/>
      <c r="C190" s="1121"/>
      <c r="D190" s="1121"/>
      <c r="E190" s="1121"/>
      <c r="F190" s="1121"/>
      <c r="G190" s="1121"/>
      <c r="H190" s="1121"/>
      <c r="I190" s="1121"/>
      <c r="J190" s="1121"/>
      <c r="K190" s="1121"/>
      <c r="L190" s="1121"/>
      <c r="M190" s="1121"/>
      <c r="N190" s="1121"/>
      <c r="O190" s="1121"/>
      <c r="P190" s="1121"/>
      <c r="Q190" s="1121"/>
      <c r="R190" s="1121"/>
      <c r="S190" s="1121"/>
      <c r="T190" s="1121"/>
      <c r="U190" s="1121"/>
      <c r="V190" s="1121"/>
      <c r="W190" s="1121"/>
      <c r="X190" s="1121"/>
      <c r="Y190" s="1121"/>
      <c r="Z190" s="1121"/>
      <c r="AA190" s="1121"/>
      <c r="AB190" s="1121"/>
      <c r="AC190" s="1121"/>
      <c r="AD190" s="1121"/>
      <c r="AE190" s="385"/>
      <c r="AF190" s="385"/>
      <c r="AG190" s="385"/>
      <c r="AH190" s="385"/>
      <c r="AI190" s="385"/>
      <c r="AJ190" s="1112"/>
      <c r="AK190" s="437"/>
      <c r="AL190" s="437"/>
      <c r="AM190" s="458"/>
      <c r="AP190" s="398" t="s">
        <v>2243</v>
      </c>
      <c r="AQ190" s="398">
        <v>10</v>
      </c>
      <c r="AS190" s="398" t="s">
        <v>2244</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2245</v>
      </c>
      <c r="AK191" s="2359">
        <f>IF(AK84&gt;0,VLOOKUP($B$188,AP185:AQ191,2,FALSE),0)</f>
        <v>10</v>
      </c>
      <c r="AL191" s="2360"/>
      <c r="AM191" s="2361"/>
      <c r="AN191" s="384"/>
      <c r="AP191" s="398" t="s">
        <v>2246</v>
      </c>
      <c r="AQ191" s="398">
        <v>10</v>
      </c>
      <c r="AS191" s="398" t="s">
        <v>2247</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132"/>
      <c r="J193" s="1132"/>
      <c r="K193" s="1132"/>
      <c r="L193" s="1132"/>
      <c r="M193" s="1132"/>
      <c r="N193" s="1132"/>
      <c r="O193" s="1132"/>
      <c r="P193" s="1132"/>
      <c r="Q193" s="1132"/>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ht="13">
      <c r="A194" s="387" t="s">
        <v>2248</v>
      </c>
      <c r="B194" s="387" t="s">
        <v>2249</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139"/>
      <c r="Z194" s="1139"/>
      <c r="AA194" s="1139"/>
      <c r="AB194" s="1139"/>
      <c r="AC194" s="398"/>
      <c r="AD194" s="398"/>
      <c r="AE194" s="2392" t="s">
        <v>2250</v>
      </c>
      <c r="AF194" s="2392"/>
      <c r="AG194" s="2392"/>
      <c r="AH194" s="2392"/>
      <c r="AI194" s="2392"/>
      <c r="AJ194" s="2392"/>
      <c r="AK194" s="2392"/>
    </row>
    <row r="195" spans="1:40" ht="13">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139"/>
      <c r="Z195" s="1139"/>
      <c r="AA195" s="1139"/>
      <c r="AB195" s="1139"/>
      <c r="AC195" s="385"/>
      <c r="AD195" s="385"/>
      <c r="AE195" s="1112"/>
      <c r="AF195" s="1112"/>
      <c r="AG195" s="1112"/>
      <c r="AH195" s="1112"/>
      <c r="AI195" s="1112"/>
      <c r="AJ195" s="1112"/>
      <c r="AK195" s="1112"/>
    </row>
    <row r="196" spans="1:40" ht="13">
      <c r="A196" s="387"/>
      <c r="B196" s="668" t="s">
        <v>2251</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139"/>
      <c r="Z196" s="1139"/>
      <c r="AA196" s="1139"/>
      <c r="AB196" s="1139"/>
      <c r="AC196" s="385"/>
      <c r="AD196" s="385"/>
      <c r="AE196" s="1112"/>
      <c r="AF196" s="1112"/>
      <c r="AG196" s="1112"/>
      <c r="AH196" s="1112"/>
      <c r="AI196" s="1112"/>
      <c r="AJ196" s="1112"/>
      <c r="AK196" s="1112"/>
    </row>
    <row r="197" spans="1:40">
      <c r="A197" s="1121"/>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25"/>
      <c r="Z197" s="1125"/>
      <c r="AA197" s="1125"/>
      <c r="AB197" s="1125"/>
      <c r="AC197" s="385"/>
      <c r="AD197" s="385"/>
      <c r="AE197" s="451"/>
      <c r="AF197" s="451"/>
      <c r="AG197" s="451"/>
      <c r="AH197" s="451"/>
      <c r="AI197" s="451"/>
      <c r="AJ197" s="451"/>
      <c r="AK197" s="451"/>
    </row>
    <row r="198" spans="1:40">
      <c r="A198" s="1121"/>
      <c r="B198" s="669" t="s">
        <v>2252</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25"/>
      <c r="Z198" s="1125"/>
      <c r="AA198" s="1125"/>
      <c r="AB198" s="1125"/>
      <c r="AC198" s="385"/>
      <c r="AD198" s="385"/>
      <c r="AE198" s="451"/>
      <c r="AF198" s="451"/>
      <c r="AG198" s="451"/>
      <c r="AH198" s="451"/>
      <c r="AI198" s="451"/>
      <c r="AJ198" s="451"/>
      <c r="AK198" s="451"/>
    </row>
    <row r="199" spans="1:40">
      <c r="A199" s="1121"/>
      <c r="B199" s="2515" t="s">
        <v>1360</v>
      </c>
      <c r="C199" s="2515"/>
      <c r="D199" s="2515"/>
      <c r="E199" s="2515"/>
      <c r="F199" s="2515"/>
      <c r="G199" s="2515"/>
      <c r="H199" s="2515"/>
      <c r="I199" s="2515"/>
      <c r="J199" s="2515"/>
      <c r="K199" s="2515"/>
      <c r="L199" s="2515"/>
      <c r="M199" s="2515"/>
      <c r="N199" s="2515"/>
      <c r="O199" s="2515"/>
      <c r="P199" s="2515"/>
      <c r="Q199" s="2515"/>
      <c r="R199" s="2515"/>
      <c r="S199" s="2515"/>
      <c r="T199" s="2515"/>
      <c r="U199" s="2515"/>
      <c r="V199" s="2515"/>
      <c r="W199" s="2515"/>
      <c r="X199" s="2515"/>
      <c r="Y199" s="2515"/>
      <c r="Z199" s="2515"/>
      <c r="AA199" s="2515"/>
      <c r="AB199" s="2515"/>
      <c r="AC199" s="670"/>
      <c r="AD199" s="2505">
        <v>5713291</v>
      </c>
      <c r="AE199" s="2505"/>
      <c r="AF199" s="2505"/>
      <c r="AG199" s="2505"/>
      <c r="AH199" s="2505"/>
      <c r="AI199" s="2505"/>
      <c r="AJ199" s="2505"/>
      <c r="AK199" s="451"/>
    </row>
    <row r="200" spans="1:40">
      <c r="A200" s="1121"/>
      <c r="B200" s="2515" t="s">
        <v>1404</v>
      </c>
      <c r="C200" s="2515"/>
      <c r="D200" s="2515"/>
      <c r="E200" s="2515"/>
      <c r="F200" s="2515"/>
      <c r="G200" s="2515"/>
      <c r="H200" s="2515"/>
      <c r="I200" s="2515"/>
      <c r="J200" s="2515"/>
      <c r="K200" s="2515"/>
      <c r="L200" s="2515"/>
      <c r="M200" s="2515"/>
      <c r="N200" s="2515"/>
      <c r="O200" s="2515"/>
      <c r="P200" s="2515"/>
      <c r="Q200" s="2515"/>
      <c r="R200" s="2515"/>
      <c r="S200" s="2515"/>
      <c r="T200" s="2515"/>
      <c r="U200" s="2515"/>
      <c r="V200" s="2515"/>
      <c r="W200" s="2515"/>
      <c r="X200" s="2515"/>
      <c r="Y200" s="2515"/>
      <c r="Z200" s="2515"/>
      <c r="AA200" s="2515"/>
      <c r="AB200" s="2515"/>
      <c r="AC200" s="670"/>
      <c r="AD200" s="2505">
        <v>1369665</v>
      </c>
      <c r="AE200" s="2505"/>
      <c r="AF200" s="2505"/>
      <c r="AG200" s="2505"/>
      <c r="AH200" s="2505"/>
      <c r="AI200" s="2505"/>
      <c r="AJ200" s="2505"/>
      <c r="AK200" s="451"/>
    </row>
    <row r="201" spans="1:40">
      <c r="A201" s="1121"/>
      <c r="B201" s="2515"/>
      <c r="C201" s="2515"/>
      <c r="D201" s="2515"/>
      <c r="E201" s="2515"/>
      <c r="F201" s="2515"/>
      <c r="G201" s="2515"/>
      <c r="H201" s="2515"/>
      <c r="I201" s="2515"/>
      <c r="J201" s="2515"/>
      <c r="K201" s="2515"/>
      <c r="L201" s="2515"/>
      <c r="M201" s="2515"/>
      <c r="N201" s="2515"/>
      <c r="O201" s="2515"/>
      <c r="P201" s="2515"/>
      <c r="Q201" s="2515"/>
      <c r="R201" s="2515"/>
      <c r="S201" s="2515"/>
      <c r="T201" s="2515"/>
      <c r="U201" s="2515"/>
      <c r="V201" s="2515"/>
      <c r="W201" s="2515"/>
      <c r="X201" s="2515"/>
      <c r="Y201" s="2515"/>
      <c r="Z201" s="2515"/>
      <c r="AA201" s="2515"/>
      <c r="AB201" s="2515"/>
      <c r="AC201" s="670"/>
      <c r="AD201" s="2505"/>
      <c r="AE201" s="2505"/>
      <c r="AF201" s="2505"/>
      <c r="AG201" s="2505"/>
      <c r="AH201" s="2505"/>
      <c r="AI201" s="2505"/>
      <c r="AJ201" s="2505"/>
      <c r="AK201" s="451"/>
    </row>
    <row r="202" spans="1:40">
      <c r="A202" s="1121"/>
      <c r="B202" s="2515"/>
      <c r="C202" s="2515"/>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670"/>
      <c r="AD202" s="2505"/>
      <c r="AE202" s="2505"/>
      <c r="AF202" s="2505"/>
      <c r="AG202" s="2505"/>
      <c r="AH202" s="2505"/>
      <c r="AI202" s="2505"/>
      <c r="AJ202" s="2505"/>
      <c r="AK202" s="451"/>
    </row>
    <row r="203" spans="1:40">
      <c r="A203" s="1121"/>
      <c r="B203" s="2515"/>
      <c r="C203" s="2515"/>
      <c r="D203" s="2515"/>
      <c r="E203" s="2515"/>
      <c r="F203" s="2515"/>
      <c r="G203" s="2515"/>
      <c r="H203" s="2515"/>
      <c r="I203" s="2515"/>
      <c r="J203" s="2515"/>
      <c r="K203" s="2515"/>
      <c r="L203" s="2515"/>
      <c r="M203" s="2515"/>
      <c r="N203" s="2515"/>
      <c r="O203" s="2515"/>
      <c r="P203" s="2515"/>
      <c r="Q203" s="2515"/>
      <c r="R203" s="2515"/>
      <c r="S203" s="2515"/>
      <c r="T203" s="2515"/>
      <c r="U203" s="2515"/>
      <c r="V203" s="2515"/>
      <c r="W203" s="2515"/>
      <c r="X203" s="2515"/>
      <c r="Y203" s="2515"/>
      <c r="Z203" s="2515"/>
      <c r="AA203" s="2515"/>
      <c r="AB203" s="2515"/>
      <c r="AC203" s="670"/>
      <c r="AD203" s="2505"/>
      <c r="AE203" s="2505"/>
      <c r="AF203" s="2505"/>
      <c r="AG203" s="2505"/>
      <c r="AH203" s="2505"/>
      <c r="AI203" s="2505"/>
      <c r="AJ203" s="2505"/>
      <c r="AK203" s="451"/>
    </row>
    <row r="204" spans="1:40">
      <c r="A204" s="1121"/>
      <c r="B204" s="2515"/>
      <c r="C204" s="2515"/>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670"/>
      <c r="AD204" s="2505"/>
      <c r="AE204" s="2505"/>
      <c r="AF204" s="2505"/>
      <c r="AG204" s="2505"/>
      <c r="AH204" s="2505"/>
      <c r="AI204" s="2505"/>
      <c r="AJ204" s="2505"/>
      <c r="AK204" s="451"/>
    </row>
    <row r="205" spans="1:40">
      <c r="A205" s="1121"/>
      <c r="B205" s="2515"/>
      <c r="C205" s="2515"/>
      <c r="D205" s="2515"/>
      <c r="E205" s="2515"/>
      <c r="F205" s="2515"/>
      <c r="G205" s="2515"/>
      <c r="H205" s="2515"/>
      <c r="I205" s="2515"/>
      <c r="J205" s="2515"/>
      <c r="K205" s="2515"/>
      <c r="L205" s="2515"/>
      <c r="M205" s="2515"/>
      <c r="N205" s="2515"/>
      <c r="O205" s="2515"/>
      <c r="P205" s="2515"/>
      <c r="Q205" s="2515"/>
      <c r="R205" s="2515"/>
      <c r="S205" s="2515"/>
      <c r="T205" s="2515"/>
      <c r="U205" s="2515"/>
      <c r="V205" s="2515"/>
      <c r="W205" s="2515"/>
      <c r="X205" s="2515"/>
      <c r="Y205" s="2515"/>
      <c r="Z205" s="2515"/>
      <c r="AA205" s="2515"/>
      <c r="AB205" s="2515"/>
      <c r="AC205" s="670"/>
      <c r="AD205" s="2505"/>
      <c r="AE205" s="2505"/>
      <c r="AF205" s="2505"/>
      <c r="AG205" s="2505"/>
      <c r="AH205" s="2505"/>
      <c r="AI205" s="2505"/>
      <c r="AJ205" s="2505"/>
      <c r="AK205" s="451"/>
    </row>
    <row r="206" spans="1:40">
      <c r="A206" s="1121"/>
      <c r="B206" s="2515"/>
      <c r="C206" s="2515"/>
      <c r="D206" s="2515"/>
      <c r="E206" s="2515"/>
      <c r="F206" s="2515"/>
      <c r="G206" s="2515"/>
      <c r="H206" s="2515"/>
      <c r="I206" s="2515"/>
      <c r="J206" s="2515"/>
      <c r="K206" s="2515"/>
      <c r="L206" s="2515"/>
      <c r="M206" s="2515"/>
      <c r="N206" s="2515"/>
      <c r="O206" s="2515"/>
      <c r="P206" s="2515"/>
      <c r="Q206" s="2515"/>
      <c r="R206" s="2515"/>
      <c r="S206" s="2515"/>
      <c r="T206" s="2515"/>
      <c r="U206" s="2515"/>
      <c r="V206" s="2515"/>
      <c r="W206" s="2515"/>
      <c r="X206" s="2515"/>
      <c r="Y206" s="2515"/>
      <c r="Z206" s="2515"/>
      <c r="AA206" s="2515"/>
      <c r="AB206" s="2515"/>
      <c r="AC206" s="670"/>
      <c r="AD206" s="2505"/>
      <c r="AE206" s="2505"/>
      <c r="AF206" s="2505"/>
      <c r="AG206" s="2505"/>
      <c r="AH206" s="2505"/>
      <c r="AI206" s="2505"/>
      <c r="AJ206" s="2505"/>
      <c r="AK206" s="451"/>
    </row>
    <row r="207" spans="1:40">
      <c r="A207" s="1121"/>
      <c r="B207" s="2515"/>
      <c r="C207" s="2515"/>
      <c r="D207" s="2515"/>
      <c r="E207" s="2515"/>
      <c r="F207" s="2515"/>
      <c r="G207" s="2515"/>
      <c r="H207" s="2515"/>
      <c r="I207" s="2515"/>
      <c r="J207" s="2515"/>
      <c r="K207" s="2515"/>
      <c r="L207" s="2515"/>
      <c r="M207" s="2515"/>
      <c r="N207" s="2515"/>
      <c r="O207" s="2515"/>
      <c r="P207" s="2515"/>
      <c r="Q207" s="2515"/>
      <c r="R207" s="2515"/>
      <c r="S207" s="2515"/>
      <c r="T207" s="2515"/>
      <c r="U207" s="2515"/>
      <c r="V207" s="2515"/>
      <c r="W207" s="2515"/>
      <c r="X207" s="2515"/>
      <c r="Y207" s="2515"/>
      <c r="Z207" s="2515"/>
      <c r="AA207" s="2515"/>
      <c r="AB207" s="2515"/>
      <c r="AC207" s="670"/>
      <c r="AD207" s="2505"/>
      <c r="AE207" s="2505"/>
      <c r="AF207" s="2505"/>
      <c r="AG207" s="2505"/>
      <c r="AH207" s="2505"/>
      <c r="AI207" s="2505"/>
      <c r="AJ207" s="2505"/>
      <c r="AK207" s="451"/>
    </row>
    <row r="208" spans="1:40">
      <c r="A208" s="1121"/>
      <c r="B208" s="2515"/>
      <c r="C208" s="2515"/>
      <c r="D208" s="2515"/>
      <c r="E208" s="2515"/>
      <c r="F208" s="2515"/>
      <c r="G208" s="2515"/>
      <c r="H208" s="2515"/>
      <c r="I208" s="2515"/>
      <c r="J208" s="2515"/>
      <c r="K208" s="2515"/>
      <c r="L208" s="2515"/>
      <c r="M208" s="2515"/>
      <c r="N208" s="2515"/>
      <c r="O208" s="2515"/>
      <c r="P208" s="2515"/>
      <c r="Q208" s="2515"/>
      <c r="R208" s="2515"/>
      <c r="S208" s="2515"/>
      <c r="T208" s="2515"/>
      <c r="U208" s="2515"/>
      <c r="V208" s="2515"/>
      <c r="W208" s="2515"/>
      <c r="X208" s="2515"/>
      <c r="Y208" s="2515"/>
      <c r="Z208" s="2515"/>
      <c r="AA208" s="2515"/>
      <c r="AB208" s="2515"/>
      <c r="AC208" s="670"/>
      <c r="AD208" s="2505"/>
      <c r="AE208" s="2505"/>
      <c r="AF208" s="2505"/>
      <c r="AG208" s="2505"/>
      <c r="AH208" s="2505"/>
      <c r="AI208" s="2505"/>
      <c r="AJ208" s="2505"/>
      <c r="AK208" s="451"/>
    </row>
    <row r="209" spans="1:37">
      <c r="A209" s="1121"/>
      <c r="B209" s="2530" t="s">
        <v>2253</v>
      </c>
      <c r="C209" s="2530"/>
      <c r="D209" s="2530"/>
      <c r="E209" s="2530"/>
      <c r="F209" s="2530"/>
      <c r="G209" s="2530"/>
      <c r="H209" s="2530"/>
      <c r="I209" s="2530"/>
      <c r="J209" s="2530"/>
      <c r="K209" s="2530"/>
      <c r="L209" s="2530"/>
      <c r="M209" s="2530"/>
      <c r="N209" s="2530"/>
      <c r="O209" s="2530"/>
      <c r="P209" s="2530"/>
      <c r="Q209" s="2530"/>
      <c r="R209" s="2530"/>
      <c r="S209" s="2530"/>
      <c r="T209" s="2530"/>
      <c r="U209" s="2530"/>
      <c r="V209" s="2530"/>
      <c r="W209" s="2530"/>
      <c r="X209" s="2530"/>
      <c r="Y209" s="2530"/>
      <c r="Z209" s="2530"/>
      <c r="AA209" s="2530"/>
      <c r="AB209" s="2530"/>
      <c r="AC209" s="385"/>
      <c r="AD209" s="2503">
        <f>AB260</f>
        <v>0</v>
      </c>
      <c r="AE209" s="2503"/>
      <c r="AF209" s="2503"/>
      <c r="AG209" s="2503"/>
      <c r="AH209" s="2503"/>
      <c r="AI209" s="2503"/>
      <c r="AJ209" s="2503"/>
      <c r="AK209" s="451"/>
    </row>
    <row r="210" spans="1:37">
      <c r="A210" s="1121"/>
      <c r="B210" s="2377" t="s">
        <v>2254</v>
      </c>
      <c r="C210" s="2377"/>
      <c r="D210" s="2377"/>
      <c r="E210" s="2377"/>
      <c r="F210" s="2377"/>
      <c r="G210" s="2377"/>
      <c r="H210" s="2377"/>
      <c r="I210" s="2377"/>
      <c r="J210" s="2377"/>
      <c r="K210" s="2377"/>
      <c r="L210" s="2377"/>
      <c r="M210" s="2377"/>
      <c r="N210" s="2377"/>
      <c r="O210" s="2377"/>
      <c r="P210" s="2377"/>
      <c r="Q210" s="2377"/>
      <c r="R210" s="2377"/>
      <c r="S210" s="2377"/>
      <c r="T210" s="2377"/>
      <c r="U210" s="2377"/>
      <c r="V210" s="2377"/>
      <c r="W210" s="2377"/>
      <c r="X210" s="2377"/>
      <c r="Y210" s="2377"/>
      <c r="Z210" s="2377"/>
      <c r="AA210" s="2377"/>
      <c r="AB210" s="2377"/>
      <c r="AC210" s="670"/>
      <c r="AD210" s="2504">
        <f>'Sources and Uses Budget'!B15</f>
        <v>0</v>
      </c>
      <c r="AE210" s="2504"/>
      <c r="AF210" s="2504"/>
      <c r="AG210" s="2504"/>
      <c r="AH210" s="2504"/>
      <c r="AI210" s="2504"/>
      <c r="AJ210" s="2504"/>
      <c r="AK210" s="451"/>
    </row>
    <row r="211" spans="1:37" ht="13">
      <c r="A211" s="1121"/>
      <c r="B211" s="1057"/>
      <c r="C211" s="1057"/>
      <c r="D211" s="1057"/>
      <c r="E211" s="1057"/>
      <c r="F211" s="1057"/>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c r="AA211" s="1057"/>
      <c r="AB211" s="463" t="s">
        <v>1503</v>
      </c>
      <c r="AC211" s="385"/>
      <c r="AD211" s="2509">
        <f>SUM(AD199:AJ209)-AD210</f>
        <v>7082956</v>
      </c>
      <c r="AE211" s="2509"/>
      <c r="AF211" s="2509"/>
      <c r="AG211" s="2509"/>
      <c r="AH211" s="2509"/>
      <c r="AI211" s="2509"/>
      <c r="AJ211" s="2509"/>
      <c r="AK211" s="451"/>
    </row>
    <row r="212" spans="1:37">
      <c r="A212" s="1121"/>
      <c r="B212" s="1121"/>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25"/>
      <c r="Z212" s="1125"/>
      <c r="AA212" s="1125"/>
      <c r="AB212" s="1125"/>
      <c r="AC212" s="385"/>
      <c r="AD212" s="385"/>
      <c r="AE212" s="451"/>
      <c r="AF212" s="451"/>
      <c r="AG212" s="451"/>
      <c r="AH212" s="451"/>
      <c r="AI212" s="451"/>
      <c r="AJ212" s="451"/>
      <c r="AK212" s="451"/>
    </row>
    <row r="213" spans="1:37" ht="13">
      <c r="A213" s="1121"/>
      <c r="B213" s="350" t="s">
        <v>2255</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25"/>
      <c r="Z213" s="1125"/>
      <c r="AA213" s="1125"/>
      <c r="AB213" s="1125"/>
      <c r="AC213" s="385"/>
      <c r="AD213" s="385"/>
      <c r="AE213" s="451"/>
      <c r="AF213" s="451"/>
      <c r="AG213" s="451"/>
      <c r="AH213" s="451"/>
      <c r="AI213" s="451"/>
      <c r="AJ213" s="451"/>
      <c r="AK213" s="451"/>
    </row>
    <row r="214" spans="1:37">
      <c r="A214" s="1121"/>
      <c r="B214" s="332" t="s">
        <v>2256</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25"/>
      <c r="Z214" s="1125"/>
      <c r="AA214" s="1125"/>
      <c r="AB214" s="1125"/>
      <c r="AC214" s="385"/>
      <c r="AD214" s="385"/>
      <c r="AE214" s="451"/>
      <c r="AF214" s="451"/>
      <c r="AG214" s="451"/>
      <c r="AH214" s="451"/>
      <c r="AI214" s="451"/>
      <c r="AJ214" s="451"/>
      <c r="AK214" s="451"/>
    </row>
    <row r="215" spans="1:37">
      <c r="A215" s="677"/>
      <c r="B215" s="693" t="s">
        <v>2257</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127"/>
      <c r="Z215" s="1127"/>
      <c r="AA215" s="1127"/>
      <c r="AB215" s="1127"/>
      <c r="AC215" s="577"/>
      <c r="AD215" s="577"/>
      <c r="AE215" s="655"/>
      <c r="AF215" s="655"/>
      <c r="AG215" s="655"/>
      <c r="AH215" s="655"/>
      <c r="AI215" s="655"/>
      <c r="AJ215" s="656"/>
      <c r="AK215" s="451"/>
    </row>
    <row r="216" spans="1:37">
      <c r="A216" s="677"/>
      <c r="B216" s="697" t="s">
        <v>2258</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25"/>
      <c r="Z216" s="1125"/>
      <c r="AA216" s="1125"/>
      <c r="AB216" s="1125"/>
      <c r="AC216" s="385"/>
      <c r="AD216" s="385"/>
      <c r="AE216" s="451"/>
      <c r="AF216" s="451"/>
      <c r="AG216" s="451"/>
      <c r="AH216" s="451"/>
      <c r="AI216" s="451"/>
      <c r="AJ216" s="657"/>
      <c r="AK216" s="451"/>
    </row>
    <row r="217" spans="1:37">
      <c r="A217" s="677"/>
      <c r="B217" s="697" t="s">
        <v>2259</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25"/>
      <c r="Z217" s="1125"/>
      <c r="AA217" s="1125"/>
      <c r="AB217" s="1125"/>
      <c r="AC217" s="385"/>
      <c r="AD217" s="385"/>
      <c r="AE217" s="451"/>
      <c r="AF217" s="451"/>
      <c r="AG217" s="451"/>
      <c r="AH217" s="451"/>
      <c r="AI217" s="451"/>
      <c r="AJ217" s="657"/>
      <c r="AK217" s="451"/>
    </row>
    <row r="218" spans="1:37">
      <c r="A218" s="677"/>
      <c r="B218" s="697" t="s">
        <v>2260</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25"/>
      <c r="Z218" s="1125"/>
      <c r="AA218" s="1125"/>
      <c r="AB218" s="1125"/>
      <c r="AC218" s="385"/>
      <c r="AD218" s="385"/>
      <c r="AE218" s="451"/>
      <c r="AF218" s="451"/>
      <c r="AG218" s="451"/>
      <c r="AH218" s="451"/>
      <c r="AI218" s="451"/>
      <c r="AJ218" s="657"/>
      <c r="AK218" s="451"/>
    </row>
    <row r="219" spans="1:37">
      <c r="A219" s="677"/>
      <c r="B219" s="701" t="s">
        <v>2261</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25"/>
      <c r="Z219" s="1125"/>
      <c r="AA219" s="1125"/>
      <c r="AB219" s="1125"/>
      <c r="AC219" s="385"/>
      <c r="AD219" s="385"/>
      <c r="AE219" s="451"/>
      <c r="AF219" s="451"/>
      <c r="AG219" s="451"/>
      <c r="AH219" s="451"/>
      <c r="AI219" s="451"/>
      <c r="AJ219" s="657"/>
      <c r="AK219" s="451"/>
    </row>
    <row r="220" spans="1:37" ht="13">
      <c r="A220" s="677"/>
      <c r="B220" s="702" t="s">
        <v>2262</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26"/>
      <c r="Z220" s="1126"/>
      <c r="AA220" s="1126"/>
      <c r="AB220" s="1126"/>
      <c r="AC220" s="570"/>
      <c r="AD220" s="570"/>
      <c r="AE220" s="658"/>
      <c r="AF220" s="658"/>
      <c r="AG220" s="658"/>
      <c r="AH220" s="658"/>
      <c r="AI220" s="658"/>
      <c r="AJ220" s="659"/>
      <c r="AK220" s="451"/>
    </row>
    <row r="221" spans="1:37">
      <c r="A221" s="1121"/>
      <c r="B221" s="1121"/>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25"/>
      <c r="Z221" s="1125"/>
      <c r="AA221" s="1125"/>
      <c r="AB221" s="1125"/>
      <c r="AC221" s="385"/>
      <c r="AD221" s="385"/>
      <c r="AE221" s="451"/>
      <c r="AF221" s="451"/>
      <c r="AG221" s="451"/>
      <c r="AH221" s="451"/>
      <c r="AI221" s="451"/>
      <c r="AJ221" s="451"/>
      <c r="AK221" s="451"/>
    </row>
    <row r="222" spans="1:37">
      <c r="A222" s="1121"/>
      <c r="B222" s="672"/>
      <c r="C222" s="332"/>
      <c r="D222" s="332"/>
      <c r="I222" s="2528" t="s">
        <v>2263</v>
      </c>
      <c r="J222" s="2528"/>
      <c r="K222" s="2528"/>
      <c r="L222" s="385"/>
      <c r="M222" s="385"/>
      <c r="N222" s="385"/>
      <c r="O222" s="385"/>
      <c r="P222" s="385"/>
      <c r="Q222" s="385"/>
      <c r="R222" s="385"/>
      <c r="S222" s="385"/>
      <c r="T222" s="2343" t="s">
        <v>2264</v>
      </c>
      <c r="U222" s="2343"/>
      <c r="V222" s="2343"/>
      <c r="W222" s="2343"/>
      <c r="X222" s="2343"/>
      <c r="Y222" s="2343"/>
      <c r="Z222" s="673"/>
      <c r="AA222" s="342"/>
      <c r="AB222" s="2525" t="s">
        <v>2265</v>
      </c>
      <c r="AC222" s="2525"/>
      <c r="AD222" s="2525"/>
      <c r="AE222" s="2525"/>
      <c r="AF222" s="2525"/>
      <c r="AG222" s="2525"/>
      <c r="AH222" s="654"/>
      <c r="AI222" s="654"/>
      <c r="AJ222" s="654"/>
      <c r="AK222" s="451"/>
    </row>
    <row r="223" spans="1:37">
      <c r="A223" s="1121"/>
      <c r="B223" s="2526" t="s">
        <v>2266</v>
      </c>
      <c r="C223" s="2526"/>
      <c r="D223" s="2526"/>
      <c r="E223" s="2526"/>
      <c r="F223" s="2526"/>
      <c r="G223" s="2526"/>
      <c r="I223" s="2527" t="s">
        <v>2267</v>
      </c>
      <c r="J223" s="2527"/>
      <c r="K223" s="2527"/>
      <c r="L223" s="1120"/>
      <c r="N223" s="2378" t="s">
        <v>2268</v>
      </c>
      <c r="O223" s="2378"/>
      <c r="P223" s="2378"/>
      <c r="Q223" s="2378"/>
      <c r="R223" s="2378"/>
      <c r="T223" s="2378" t="s">
        <v>2269</v>
      </c>
      <c r="U223" s="2378"/>
      <c r="V223" s="2378"/>
      <c r="W223" s="2378"/>
      <c r="X223" s="2378"/>
      <c r="Y223" s="2378"/>
      <c r="Z223" s="674"/>
      <c r="AA223" s="342"/>
      <c r="AB223" s="2393" t="s">
        <v>2270</v>
      </c>
      <c r="AC223" s="2393"/>
      <c r="AD223" s="2393"/>
      <c r="AE223" s="2393"/>
      <c r="AF223" s="2393"/>
      <c r="AG223" s="2393"/>
      <c r="AH223" s="654"/>
      <c r="AI223" s="654"/>
      <c r="AJ223" s="654"/>
      <c r="AK223" s="451"/>
    </row>
    <row r="224" spans="1:37">
      <c r="A224" s="1121"/>
      <c r="B224" s="2394" t="s">
        <v>1003</v>
      </c>
      <c r="C224" s="2394"/>
      <c r="D224" s="2394"/>
      <c r="E224" s="2394"/>
      <c r="F224" s="2394"/>
      <c r="G224" s="2394"/>
      <c r="H224" s="676"/>
      <c r="I224" s="2347"/>
      <c r="J224" s="2347"/>
      <c r="K224" s="2347"/>
      <c r="L224" s="1120"/>
      <c r="N224" s="2345"/>
      <c r="O224" s="2345"/>
      <c r="P224" s="2345"/>
      <c r="Q224" s="2345"/>
      <c r="R224" s="2345"/>
      <c r="T224" s="2344"/>
      <c r="U224" s="2344"/>
      <c r="V224" s="2344"/>
      <c r="W224" s="2344"/>
      <c r="X224" s="2344"/>
      <c r="Y224" s="2344"/>
      <c r="Z224" s="675"/>
      <c r="AA224" s="675"/>
      <c r="AB224" s="2342">
        <f t="shared" ref="AB224:AB233" si="0">MAX(($T224-$N224)*$I224*12,0)</f>
        <v>0</v>
      </c>
      <c r="AC224" s="2342"/>
      <c r="AD224" s="2342"/>
      <c r="AE224" s="2342"/>
      <c r="AF224" s="2342"/>
      <c r="AG224" s="2342"/>
      <c r="AH224" s="654"/>
      <c r="AI224" s="654"/>
      <c r="AJ224" s="654"/>
      <c r="AK224" s="451"/>
    </row>
    <row r="225" spans="1:37">
      <c r="A225" s="1121"/>
      <c r="B225" s="2394" t="s">
        <v>1003</v>
      </c>
      <c r="C225" s="2394"/>
      <c r="D225" s="2394"/>
      <c r="E225" s="2394"/>
      <c r="F225" s="2394"/>
      <c r="G225" s="2394"/>
      <c r="I225" s="2347"/>
      <c r="J225" s="2347"/>
      <c r="K225" s="2347"/>
      <c r="L225" s="1120"/>
      <c r="N225" s="2345"/>
      <c r="O225" s="2345"/>
      <c r="P225" s="2345"/>
      <c r="Q225" s="2345"/>
      <c r="R225" s="2345"/>
      <c r="T225" s="2344"/>
      <c r="U225" s="2344"/>
      <c r="V225" s="2344"/>
      <c r="W225" s="2344"/>
      <c r="X225" s="2344"/>
      <c r="Y225" s="2344"/>
      <c r="Z225" s="675"/>
      <c r="AA225" s="675"/>
      <c r="AB225" s="2342">
        <f t="shared" si="0"/>
        <v>0</v>
      </c>
      <c r="AC225" s="2342"/>
      <c r="AD225" s="2342"/>
      <c r="AE225" s="2342"/>
      <c r="AF225" s="2342"/>
      <c r="AG225" s="2342"/>
      <c r="AH225" s="654"/>
      <c r="AI225" s="654"/>
      <c r="AJ225" s="654"/>
      <c r="AK225" s="451"/>
    </row>
    <row r="226" spans="1:37">
      <c r="A226" s="1121"/>
      <c r="B226" s="2394" t="s">
        <v>1003</v>
      </c>
      <c r="C226" s="2394"/>
      <c r="D226" s="2394"/>
      <c r="E226" s="2394"/>
      <c r="F226" s="2394"/>
      <c r="G226" s="2394"/>
      <c r="I226" s="2347"/>
      <c r="J226" s="2347"/>
      <c r="K226" s="2347"/>
      <c r="L226" s="1120"/>
      <c r="N226" s="2345"/>
      <c r="O226" s="2345"/>
      <c r="P226" s="2345"/>
      <c r="Q226" s="2345"/>
      <c r="R226" s="2345"/>
      <c r="T226" s="2344"/>
      <c r="U226" s="2344"/>
      <c r="V226" s="2344"/>
      <c r="W226" s="2344"/>
      <c r="X226" s="2344"/>
      <c r="Y226" s="2344"/>
      <c r="Z226" s="675"/>
      <c r="AA226" s="675"/>
      <c r="AB226" s="2342">
        <f t="shared" si="0"/>
        <v>0</v>
      </c>
      <c r="AC226" s="2342"/>
      <c r="AD226" s="2342"/>
      <c r="AE226" s="2342"/>
      <c r="AF226" s="2342"/>
      <c r="AG226" s="2342"/>
      <c r="AH226" s="654"/>
      <c r="AI226" s="654"/>
      <c r="AJ226" s="654"/>
      <c r="AK226" s="451"/>
    </row>
    <row r="227" spans="1:37">
      <c r="A227" s="1121"/>
      <c r="B227" s="2394" t="s">
        <v>1003</v>
      </c>
      <c r="C227" s="2394"/>
      <c r="D227" s="2394"/>
      <c r="E227" s="2394"/>
      <c r="F227" s="2394"/>
      <c r="G227" s="2394"/>
      <c r="I227" s="2347"/>
      <c r="J227" s="2347"/>
      <c r="K227" s="2347"/>
      <c r="L227" s="1120"/>
      <c r="N227" s="2345"/>
      <c r="O227" s="2345"/>
      <c r="P227" s="2345"/>
      <c r="Q227" s="2345"/>
      <c r="R227" s="2345"/>
      <c r="T227" s="2344"/>
      <c r="U227" s="2344"/>
      <c r="V227" s="2344"/>
      <c r="W227" s="2344"/>
      <c r="X227" s="2344"/>
      <c r="Y227" s="2344"/>
      <c r="Z227" s="675"/>
      <c r="AA227" s="675"/>
      <c r="AB227" s="2342">
        <f t="shared" si="0"/>
        <v>0</v>
      </c>
      <c r="AC227" s="2342"/>
      <c r="AD227" s="2342"/>
      <c r="AE227" s="2342"/>
      <c r="AF227" s="2342"/>
      <c r="AG227" s="2342"/>
      <c r="AH227" s="654"/>
      <c r="AI227" s="654"/>
      <c r="AJ227" s="654"/>
      <c r="AK227" s="451"/>
    </row>
    <row r="228" spans="1:37">
      <c r="A228" s="1121"/>
      <c r="B228" s="2394" t="s">
        <v>1003</v>
      </c>
      <c r="C228" s="2394"/>
      <c r="D228" s="2394"/>
      <c r="E228" s="2394"/>
      <c r="F228" s="2394"/>
      <c r="G228" s="2394"/>
      <c r="I228" s="2347"/>
      <c r="J228" s="2347"/>
      <c r="K228" s="2347"/>
      <c r="L228" s="800"/>
      <c r="N228" s="2345"/>
      <c r="O228" s="2345"/>
      <c r="P228" s="2345"/>
      <c r="Q228" s="2345"/>
      <c r="R228" s="2345"/>
      <c r="T228" s="2344"/>
      <c r="U228" s="2344"/>
      <c r="V228" s="2344"/>
      <c r="W228" s="2344"/>
      <c r="X228" s="2344"/>
      <c r="Y228" s="2344"/>
      <c r="Z228" s="675"/>
      <c r="AA228" s="675"/>
      <c r="AB228" s="2342">
        <f t="shared" si="0"/>
        <v>0</v>
      </c>
      <c r="AC228" s="2342"/>
      <c r="AD228" s="2342"/>
      <c r="AE228" s="2342"/>
      <c r="AF228" s="2342"/>
      <c r="AG228" s="2342"/>
      <c r="AH228" s="654"/>
      <c r="AI228" s="654"/>
      <c r="AJ228" s="654"/>
      <c r="AK228" s="451"/>
    </row>
    <row r="229" spans="1:37">
      <c r="A229" s="1121"/>
      <c r="B229" s="2394" t="s">
        <v>1003</v>
      </c>
      <c r="C229" s="2394"/>
      <c r="D229" s="2394"/>
      <c r="E229" s="2394"/>
      <c r="F229" s="2394"/>
      <c r="G229" s="2394"/>
      <c r="I229" s="2347"/>
      <c r="J229" s="2347"/>
      <c r="K229" s="2347"/>
      <c r="L229" s="800"/>
      <c r="N229" s="2345"/>
      <c r="O229" s="2345"/>
      <c r="P229" s="2345"/>
      <c r="Q229" s="2345"/>
      <c r="R229" s="2345"/>
      <c r="T229" s="2344"/>
      <c r="U229" s="2344"/>
      <c r="V229" s="2344"/>
      <c r="W229" s="2344"/>
      <c r="X229" s="2344"/>
      <c r="Y229" s="2344"/>
      <c r="Z229" s="675"/>
      <c r="AA229" s="675"/>
      <c r="AB229" s="2342">
        <f t="shared" si="0"/>
        <v>0</v>
      </c>
      <c r="AC229" s="2342"/>
      <c r="AD229" s="2342"/>
      <c r="AE229" s="2342"/>
      <c r="AF229" s="2342"/>
      <c r="AG229" s="2342"/>
      <c r="AH229" s="654"/>
      <c r="AI229" s="654"/>
      <c r="AJ229" s="654"/>
      <c r="AK229" s="451"/>
    </row>
    <row r="230" spans="1:37">
      <c r="A230" s="1121"/>
      <c r="B230" s="2394" t="s">
        <v>1003</v>
      </c>
      <c r="C230" s="2394"/>
      <c r="D230" s="2394"/>
      <c r="E230" s="2394"/>
      <c r="F230" s="2394"/>
      <c r="G230" s="2394"/>
      <c r="I230" s="2347"/>
      <c r="J230" s="2347"/>
      <c r="K230" s="2347"/>
      <c r="L230" s="800"/>
      <c r="N230" s="2345"/>
      <c r="O230" s="2345"/>
      <c r="P230" s="2345"/>
      <c r="Q230" s="2345"/>
      <c r="R230" s="2345"/>
      <c r="T230" s="2344"/>
      <c r="U230" s="2344"/>
      <c r="V230" s="2344"/>
      <c r="W230" s="2344"/>
      <c r="X230" s="2344"/>
      <c r="Y230" s="2344"/>
      <c r="Z230" s="675"/>
      <c r="AA230" s="675"/>
      <c r="AB230" s="2342">
        <f t="shared" si="0"/>
        <v>0</v>
      </c>
      <c r="AC230" s="2342"/>
      <c r="AD230" s="2342"/>
      <c r="AE230" s="2342"/>
      <c r="AF230" s="2342"/>
      <c r="AG230" s="2342"/>
      <c r="AH230" s="654"/>
      <c r="AI230" s="654"/>
      <c r="AJ230" s="654"/>
      <c r="AK230" s="451"/>
    </row>
    <row r="231" spans="1:37">
      <c r="A231" s="1121"/>
      <c r="B231" s="2394" t="s">
        <v>1003</v>
      </c>
      <c r="C231" s="2394"/>
      <c r="D231" s="2394"/>
      <c r="E231" s="2394"/>
      <c r="F231" s="2394"/>
      <c r="G231" s="2394"/>
      <c r="I231" s="2347"/>
      <c r="J231" s="2347"/>
      <c r="K231" s="2347"/>
      <c r="L231" s="800"/>
      <c r="N231" s="2345"/>
      <c r="O231" s="2345"/>
      <c r="P231" s="2345"/>
      <c r="Q231" s="2345"/>
      <c r="R231" s="2345"/>
      <c r="T231" s="2344"/>
      <c r="U231" s="2344"/>
      <c r="V231" s="2344"/>
      <c r="W231" s="2344"/>
      <c r="X231" s="2344"/>
      <c r="Y231" s="2344"/>
      <c r="Z231" s="675"/>
      <c r="AA231" s="675"/>
      <c r="AB231" s="2342">
        <f t="shared" si="0"/>
        <v>0</v>
      </c>
      <c r="AC231" s="2342"/>
      <c r="AD231" s="2342"/>
      <c r="AE231" s="2342"/>
      <c r="AF231" s="2342"/>
      <c r="AG231" s="2342"/>
      <c r="AH231" s="654"/>
      <c r="AI231" s="654"/>
      <c r="AJ231" s="654"/>
      <c r="AK231" s="451"/>
    </row>
    <row r="232" spans="1:37">
      <c r="A232" s="1121"/>
      <c r="B232" s="2394" t="s">
        <v>1003</v>
      </c>
      <c r="C232" s="2394"/>
      <c r="D232" s="2394"/>
      <c r="E232" s="2394"/>
      <c r="F232" s="2394"/>
      <c r="G232" s="2394"/>
      <c r="I232" s="2347"/>
      <c r="J232" s="2347"/>
      <c r="K232" s="2347"/>
      <c r="L232" s="800"/>
      <c r="N232" s="2345"/>
      <c r="O232" s="2345"/>
      <c r="P232" s="2345"/>
      <c r="Q232" s="2345"/>
      <c r="R232" s="2345"/>
      <c r="T232" s="2344"/>
      <c r="U232" s="2344"/>
      <c r="V232" s="2344"/>
      <c r="W232" s="2344"/>
      <c r="X232" s="2344"/>
      <c r="Y232" s="2344"/>
      <c r="Z232" s="675"/>
      <c r="AA232" s="675"/>
      <c r="AB232" s="2342">
        <f t="shared" si="0"/>
        <v>0</v>
      </c>
      <c r="AC232" s="2342"/>
      <c r="AD232" s="2342"/>
      <c r="AE232" s="2342"/>
      <c r="AF232" s="2342"/>
      <c r="AG232" s="2342"/>
      <c r="AH232" s="654"/>
      <c r="AI232" s="654"/>
      <c r="AJ232" s="654"/>
      <c r="AK232" s="451"/>
    </row>
    <row r="233" spans="1:37">
      <c r="A233" s="1121"/>
      <c r="B233" s="2394" t="s">
        <v>1003</v>
      </c>
      <c r="C233" s="2394"/>
      <c r="D233" s="2394"/>
      <c r="E233" s="2394"/>
      <c r="F233" s="2394"/>
      <c r="G233" s="2394"/>
      <c r="I233" s="2529"/>
      <c r="J233" s="2529"/>
      <c r="K233" s="2529"/>
      <c r="L233" s="800"/>
      <c r="N233" s="2345"/>
      <c r="O233" s="2345"/>
      <c r="P233" s="2345"/>
      <c r="Q233" s="2345"/>
      <c r="R233" s="2345"/>
      <c r="T233" s="2344"/>
      <c r="U233" s="2344"/>
      <c r="V233" s="2344"/>
      <c r="W233" s="2344"/>
      <c r="X233" s="2344"/>
      <c r="Y233" s="2344"/>
      <c r="Z233" s="675"/>
      <c r="AA233" s="675"/>
      <c r="AB233" s="2348">
        <f t="shared" si="0"/>
        <v>0</v>
      </c>
      <c r="AC233" s="2348"/>
      <c r="AD233" s="2348"/>
      <c r="AE233" s="2348"/>
      <c r="AF233" s="2348"/>
      <c r="AG233" s="2348"/>
      <c r="AH233" s="654"/>
      <c r="AI233" s="654"/>
      <c r="AJ233" s="654"/>
      <c r="AK233" s="451"/>
    </row>
    <row r="234" spans="1:37">
      <c r="A234" s="1121"/>
      <c r="B234" s="332"/>
      <c r="C234" s="676"/>
      <c r="D234" s="332"/>
      <c r="K234" s="385"/>
      <c r="L234" s="385"/>
      <c r="M234" s="385"/>
      <c r="N234" s="385"/>
      <c r="O234" s="385"/>
      <c r="P234" s="385"/>
      <c r="Q234" s="385"/>
      <c r="R234" s="385"/>
      <c r="S234" s="385"/>
      <c r="T234" s="385"/>
      <c r="U234" s="385"/>
      <c r="V234" s="385"/>
      <c r="W234" s="385"/>
      <c r="X234" s="385"/>
      <c r="Y234" s="1119" t="s">
        <v>2271</v>
      </c>
      <c r="AA234" s="1119"/>
      <c r="AB234" s="2342">
        <f>SUM(AB224:AB233)</f>
        <v>0</v>
      </c>
      <c r="AC234" s="2342"/>
      <c r="AD234" s="2342"/>
      <c r="AE234" s="2342"/>
      <c r="AF234" s="2342"/>
      <c r="AG234" s="2342"/>
      <c r="AH234" s="654"/>
      <c r="AI234" s="654"/>
      <c r="AJ234" s="654"/>
      <c r="AK234" s="451"/>
    </row>
    <row r="235" spans="1:37">
      <c r="A235" s="1121"/>
      <c r="B235" s="1121"/>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25"/>
      <c r="Z235" s="1125"/>
      <c r="AA235" s="1125"/>
      <c r="AB235" s="1125"/>
      <c r="AC235" s="398"/>
      <c r="AD235" s="398"/>
      <c r="AE235" s="451"/>
      <c r="AF235" s="451"/>
      <c r="AG235" s="451"/>
      <c r="AH235" s="451"/>
      <c r="AI235" s="451"/>
      <c r="AJ235" s="451"/>
      <c r="AK235" s="451"/>
    </row>
    <row r="236" spans="1:37" ht="13">
      <c r="A236" s="917" t="s">
        <v>2272</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25"/>
      <c r="Z236" s="1125"/>
      <c r="AA236" s="1125"/>
      <c r="AB236" s="1125"/>
      <c r="AC236" s="385"/>
      <c r="AD236" s="385"/>
      <c r="AE236" s="451"/>
      <c r="AF236" s="451"/>
      <c r="AG236" s="451"/>
      <c r="AH236" s="451"/>
      <c r="AI236" s="451"/>
      <c r="AJ236" s="451"/>
      <c r="AK236" s="451"/>
    </row>
    <row r="237" spans="1:37">
      <c r="A237" s="1121"/>
      <c r="B237" s="332" t="s">
        <v>2273</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25"/>
      <c r="Z237" s="1125"/>
      <c r="AA237" s="1125"/>
      <c r="AB237" s="1125"/>
      <c r="AC237" s="385"/>
      <c r="AD237" s="385"/>
      <c r="AE237" s="451"/>
      <c r="AF237" s="451"/>
      <c r="AG237" s="451"/>
      <c r="AH237" s="451"/>
      <c r="AI237" s="451"/>
      <c r="AJ237" s="451"/>
      <c r="AK237" s="451"/>
    </row>
    <row r="238" spans="1:37">
      <c r="A238" s="1121"/>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25"/>
      <c r="Z238" s="1125"/>
      <c r="AA238" s="1125"/>
      <c r="AB238" s="1125"/>
      <c r="AC238" s="385"/>
      <c r="AD238" s="385"/>
      <c r="AE238" s="451"/>
      <c r="AF238" s="451"/>
      <c r="AG238" s="451"/>
      <c r="AH238" s="451"/>
      <c r="AI238" s="451"/>
      <c r="AJ238" s="451"/>
      <c r="AK238" s="451"/>
    </row>
    <row r="239" spans="1:37">
      <c r="A239" s="1121"/>
      <c r="B239" s="661" t="s">
        <v>2274</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25"/>
      <c r="Z239" s="1125"/>
      <c r="AA239" s="1125"/>
      <c r="AB239" s="1125"/>
      <c r="AC239" s="385"/>
      <c r="AD239" s="385"/>
      <c r="AE239" s="451"/>
      <c r="AF239" s="451"/>
      <c r="AG239" s="451"/>
      <c r="AH239" s="451"/>
      <c r="AI239" s="451"/>
      <c r="AJ239" s="451"/>
      <c r="AK239" s="451"/>
    </row>
    <row r="240" spans="1:37">
      <c r="A240" s="1121"/>
      <c r="B240" s="661" t="s">
        <v>2275</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25"/>
      <c r="Z240" s="1125"/>
      <c r="AA240" s="1125"/>
      <c r="AB240" s="2379"/>
      <c r="AC240" s="2379"/>
      <c r="AD240" s="2379"/>
      <c r="AE240" s="2379"/>
      <c r="AF240" s="2379"/>
      <c r="AG240" s="2379"/>
      <c r="AH240" s="451"/>
      <c r="AI240" s="451"/>
      <c r="AJ240" s="451"/>
      <c r="AK240" s="451"/>
    </row>
    <row r="241" spans="1:37" ht="13">
      <c r="A241" s="1121"/>
      <c r="B241" s="662" t="s">
        <v>2276</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25"/>
      <c r="Z241" s="1125"/>
      <c r="AA241" s="1125"/>
      <c r="AB241" s="1125"/>
      <c r="AC241" s="385"/>
      <c r="AD241" s="385"/>
      <c r="AE241" s="451"/>
      <c r="AF241" s="451"/>
      <c r="AG241" s="451"/>
      <c r="AH241" s="451"/>
      <c r="AI241" s="451"/>
      <c r="AJ241" s="451"/>
      <c r="AK241" s="451"/>
    </row>
    <row r="242" spans="1:37">
      <c r="A242" s="1121"/>
      <c r="B242" s="663" t="s">
        <v>2277</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25"/>
      <c r="Z242" s="1125"/>
      <c r="AA242" s="1125"/>
      <c r="AB242" s="1125"/>
      <c r="AC242" s="385"/>
      <c r="AD242" s="385"/>
      <c r="AE242" s="451"/>
      <c r="AF242" s="451"/>
      <c r="AG242" s="451"/>
      <c r="AH242" s="451"/>
      <c r="AI242" s="451"/>
      <c r="AJ242" s="451"/>
      <c r="AK242" s="451"/>
    </row>
    <row r="243" spans="1:37">
      <c r="A243" s="1121"/>
      <c r="B243" s="663" t="s">
        <v>2278</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25"/>
      <c r="Z243" s="1125"/>
      <c r="AA243" s="1125"/>
      <c r="AB243" s="2379"/>
      <c r="AC243" s="2379"/>
      <c r="AD243" s="2379"/>
      <c r="AE243" s="2379"/>
      <c r="AF243" s="2379"/>
      <c r="AG243" s="2379"/>
      <c r="AH243" s="451"/>
      <c r="AI243" s="451"/>
      <c r="AJ243" s="451"/>
      <c r="AK243" s="451"/>
    </row>
    <row r="244" spans="1:37">
      <c r="A244" s="1121"/>
      <c r="B244" s="663" t="s">
        <v>2279</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25"/>
      <c r="Z244" s="1125"/>
      <c r="AA244" s="1125"/>
      <c r="AB244" s="2341"/>
      <c r="AC244" s="2341"/>
      <c r="AD244" s="2341"/>
      <c r="AE244" s="2341"/>
      <c r="AF244" s="2341"/>
      <c r="AG244" s="2341"/>
      <c r="AH244" s="451"/>
      <c r="AI244" s="451"/>
      <c r="AJ244" s="451"/>
      <c r="AK244" s="451"/>
    </row>
    <row r="245" spans="1:37">
      <c r="A245" s="1121"/>
      <c r="B245" s="663" t="s">
        <v>2280</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25"/>
      <c r="Z245" s="1125"/>
      <c r="AA245" s="1125"/>
      <c r="AB245" s="2349">
        <f>IFERROR(AB243/AB244,0)</f>
        <v>0</v>
      </c>
      <c r="AC245" s="2349"/>
      <c r="AD245" s="2349"/>
      <c r="AE245" s="2349"/>
      <c r="AF245" s="2349"/>
      <c r="AG245" s="2349"/>
      <c r="AH245" s="451"/>
      <c r="AI245" s="451"/>
      <c r="AJ245" s="451"/>
      <c r="AK245" s="451"/>
    </row>
    <row r="246" spans="1:37">
      <c r="A246" s="1121"/>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25"/>
      <c r="Z246" s="1125"/>
      <c r="AA246" s="1125"/>
      <c r="AB246" s="1125"/>
      <c r="AC246" s="385"/>
      <c r="AD246" s="385"/>
      <c r="AE246" s="451"/>
      <c r="AF246" s="451"/>
      <c r="AG246" s="451"/>
      <c r="AH246" s="451"/>
      <c r="AI246" s="451"/>
      <c r="AJ246" s="451"/>
      <c r="AK246" s="451"/>
    </row>
    <row r="247" spans="1:37">
      <c r="A247" s="1121"/>
      <c r="B247" s="332" t="s">
        <v>2281</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25"/>
      <c r="Z247" s="1125"/>
      <c r="AA247" s="1125"/>
      <c r="AB247" s="2348">
        <f>MAX(AB240,AB245)</f>
        <v>0</v>
      </c>
      <c r="AC247" s="2348"/>
      <c r="AD247" s="2348"/>
      <c r="AE247" s="2348"/>
      <c r="AF247" s="2348"/>
      <c r="AG247" s="2348"/>
      <c r="AH247" s="451"/>
      <c r="AI247" s="451"/>
      <c r="AJ247" s="451"/>
      <c r="AK247" s="451"/>
    </row>
    <row r="248" spans="1:37">
      <c r="A248" s="1121"/>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25"/>
      <c r="Z248" s="1125"/>
      <c r="AA248" s="1125"/>
      <c r="AB248" s="1125"/>
      <c r="AC248" s="385"/>
      <c r="AD248" s="385"/>
      <c r="AE248" s="451"/>
      <c r="AF248" s="451"/>
      <c r="AG248" s="451"/>
      <c r="AH248" s="451"/>
      <c r="AI248" s="451"/>
      <c r="AJ248" s="451"/>
      <c r="AK248" s="451"/>
    </row>
    <row r="249" spans="1:37">
      <c r="A249" s="1121"/>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25"/>
      <c r="Z249" s="1125"/>
      <c r="AA249" s="1125"/>
      <c r="AB249" s="1125"/>
      <c r="AC249" s="385"/>
      <c r="AD249" s="385"/>
      <c r="AE249" s="451"/>
      <c r="AF249" s="451"/>
      <c r="AG249" s="451"/>
      <c r="AH249" s="451"/>
      <c r="AI249" s="451"/>
      <c r="AJ249" s="451"/>
      <c r="AK249" s="451"/>
    </row>
    <row r="250" spans="1:37">
      <c r="A250" s="1121"/>
      <c r="B250" s="332" t="s">
        <v>2282</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25"/>
      <c r="AA250" s="1125"/>
      <c r="AB250" s="2342">
        <f>AB234+AB247</f>
        <v>0</v>
      </c>
      <c r="AC250" s="2342"/>
      <c r="AD250" s="2342"/>
      <c r="AE250" s="2342"/>
      <c r="AF250" s="2342"/>
      <c r="AG250" s="2342"/>
      <c r="AH250" s="451"/>
      <c r="AI250" s="451"/>
      <c r="AJ250" s="451"/>
      <c r="AK250" s="451"/>
    </row>
    <row r="251" spans="1:37">
      <c r="A251" s="1121"/>
      <c r="B251" s="332" t="s">
        <v>2283</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25"/>
      <c r="AA251" s="1125"/>
      <c r="AB251" s="2513">
        <v>0.05</v>
      </c>
      <c r="AC251" s="2513"/>
      <c r="AD251" s="2513"/>
      <c r="AE251" s="2513"/>
      <c r="AF251" s="2513"/>
      <c r="AG251" s="2513"/>
      <c r="AH251" s="451"/>
      <c r="AI251" s="451"/>
      <c r="AJ251" s="451"/>
      <c r="AK251" s="451"/>
    </row>
    <row r="252" spans="1:37">
      <c r="A252" s="1121"/>
      <c r="B252" s="332" t="s">
        <v>2284</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25"/>
      <c r="AA252" s="1125"/>
      <c r="AB252" s="2514">
        <f>AB250-(AB250*AB251)</f>
        <v>0</v>
      </c>
      <c r="AC252" s="2514"/>
      <c r="AD252" s="2514"/>
      <c r="AE252" s="2514"/>
      <c r="AF252" s="2514"/>
      <c r="AG252" s="2514"/>
      <c r="AH252" s="451"/>
      <c r="AI252" s="451"/>
      <c r="AJ252" s="451"/>
      <c r="AK252" s="451"/>
    </row>
    <row r="253" spans="1:37">
      <c r="A253" s="1121"/>
      <c r="B253" s="332" t="s">
        <v>2285</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124"/>
      <c r="Z253" s="1125"/>
      <c r="AA253" s="1125"/>
      <c r="AB253" s="385"/>
      <c r="AC253" s="385"/>
      <c r="AD253" s="385"/>
      <c r="AE253" s="451"/>
      <c r="AF253" s="451"/>
      <c r="AG253" s="451"/>
      <c r="AH253" s="451"/>
      <c r="AI253" s="451"/>
      <c r="AJ253" s="451"/>
      <c r="AK253" s="451"/>
    </row>
    <row r="254" spans="1:37">
      <c r="A254" s="1121"/>
      <c r="B254" s="332" t="s">
        <v>2286</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25"/>
      <c r="AA254" s="1125"/>
      <c r="AB254" s="2342">
        <f>AB252/AB258</f>
        <v>0</v>
      </c>
      <c r="AC254" s="2342"/>
      <c r="AD254" s="2342"/>
      <c r="AE254" s="2342"/>
      <c r="AF254" s="2342"/>
      <c r="AG254" s="2342"/>
      <c r="AH254" s="451"/>
      <c r="AI254" s="451"/>
      <c r="AJ254" s="451"/>
      <c r="AK254" s="451"/>
    </row>
    <row r="255" spans="1:37">
      <c r="A255" s="1121"/>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25"/>
      <c r="AA255" s="1125"/>
      <c r="AB255" s="385"/>
      <c r="AC255" s="385"/>
      <c r="AD255" s="385"/>
      <c r="AE255" s="451"/>
      <c r="AF255" s="451"/>
      <c r="AG255" s="451"/>
      <c r="AH255" s="451"/>
      <c r="AI255" s="451"/>
      <c r="AJ255" s="451"/>
      <c r="AK255" s="451"/>
    </row>
    <row r="256" spans="1:37">
      <c r="A256" s="1121"/>
      <c r="B256" s="332" t="s">
        <v>2287</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25"/>
      <c r="AA256" s="1125"/>
      <c r="AB256" s="2525">
        <v>15</v>
      </c>
      <c r="AC256" s="2525"/>
      <c r="AD256" s="2525"/>
      <c r="AE256" s="2525"/>
      <c r="AF256" s="2525"/>
      <c r="AG256" s="2525"/>
      <c r="AH256" s="451"/>
      <c r="AI256" s="451"/>
      <c r="AJ256" s="451"/>
      <c r="AK256" s="451"/>
    </row>
    <row r="257" spans="1:37">
      <c r="A257" s="1121"/>
      <c r="B257" s="332" t="s">
        <v>2288</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25"/>
      <c r="AA257" s="1125"/>
      <c r="AB257" s="2516">
        <v>0.04</v>
      </c>
      <c r="AC257" s="2516"/>
      <c r="AD257" s="2516"/>
      <c r="AE257" s="2516"/>
      <c r="AF257" s="2516"/>
      <c r="AG257" s="2516"/>
      <c r="AH257" s="451"/>
      <c r="AI257" s="451"/>
      <c r="AJ257" s="451"/>
      <c r="AK257" s="451"/>
    </row>
    <row r="258" spans="1:37">
      <c r="A258" s="1121"/>
      <c r="B258" s="332" t="s">
        <v>2289</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25"/>
      <c r="AA258" s="1125"/>
      <c r="AB258" s="2517">
        <v>1.1499999999999999</v>
      </c>
      <c r="AC258" s="2517"/>
      <c r="AD258" s="2517"/>
      <c r="AE258" s="2517"/>
      <c r="AF258" s="2517"/>
      <c r="AG258" s="2517"/>
      <c r="AH258" s="451"/>
      <c r="AI258" s="451"/>
      <c r="AJ258" s="451"/>
      <c r="AK258" s="451"/>
    </row>
    <row r="259" spans="1:37">
      <c r="A259" s="1121"/>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25"/>
      <c r="AA259" s="1125"/>
      <c r="AB259" s="385"/>
      <c r="AC259" s="385"/>
      <c r="AD259" s="385"/>
      <c r="AE259" s="451"/>
      <c r="AF259" s="451"/>
      <c r="AG259" s="451"/>
      <c r="AH259" s="451"/>
      <c r="AI259" s="451"/>
      <c r="AJ259" s="451"/>
      <c r="AK259" s="451"/>
    </row>
    <row r="260" spans="1:37" ht="13">
      <c r="A260" s="1121"/>
      <c r="B260" s="668" t="s">
        <v>2290</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25"/>
      <c r="AA260" s="1125"/>
      <c r="AB260" s="2506">
        <f>PV(AB257/12,AB256*12,-AB254/12, ,0)</f>
        <v>0</v>
      </c>
      <c r="AC260" s="2507"/>
      <c r="AD260" s="2507"/>
      <c r="AE260" s="2507"/>
      <c r="AF260" s="2507"/>
      <c r="AG260" s="2508"/>
      <c r="AH260" s="451"/>
      <c r="AI260" s="451"/>
      <c r="AJ260" s="451"/>
      <c r="AK260" s="451"/>
    </row>
    <row r="261" spans="1:37" ht="13">
      <c r="A261" s="1121"/>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25"/>
      <c r="AA261" s="1125"/>
      <c r="AB261" s="678"/>
      <c r="AC261" s="678"/>
      <c r="AD261" s="678"/>
      <c r="AE261" s="678"/>
      <c r="AF261" s="678"/>
      <c r="AG261" s="678"/>
      <c r="AH261" s="451"/>
      <c r="AI261" s="451"/>
      <c r="AJ261" s="451"/>
      <c r="AK261" s="451"/>
    </row>
    <row r="262" spans="1:37" ht="13">
      <c r="A262" s="1121"/>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25"/>
      <c r="AA262" s="1125"/>
      <c r="AB262" s="678"/>
      <c r="AC262" s="678"/>
      <c r="AD262" s="678"/>
      <c r="AE262" s="678"/>
      <c r="AF262" s="678"/>
      <c r="AG262" s="678"/>
      <c r="AH262" s="451"/>
      <c r="AI262" s="451"/>
      <c r="AJ262" s="451"/>
      <c r="AK262" s="451"/>
    </row>
    <row r="263" spans="1:37" ht="13">
      <c r="A263" s="1121"/>
      <c r="B263" s="671" t="s">
        <v>2291</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25"/>
      <c r="Z263" s="1125"/>
      <c r="AA263" s="1125"/>
      <c r="AB263" s="1125"/>
      <c r="AC263" s="385"/>
      <c r="AD263" s="385"/>
      <c r="AE263" s="451"/>
      <c r="AF263" s="451"/>
      <c r="AG263" s="451"/>
      <c r="AH263" s="451"/>
      <c r="AI263" s="451"/>
      <c r="AJ263" s="451"/>
      <c r="AK263" s="451"/>
    </row>
    <row r="264" spans="1:37">
      <c r="A264" s="1121"/>
      <c r="B264" s="1121" t="s">
        <v>2292</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25"/>
      <c r="Z264" s="1125"/>
      <c r="AA264" s="1125"/>
      <c r="AB264" s="1125"/>
      <c r="AC264" s="385"/>
      <c r="AD264" s="385"/>
      <c r="AE264" s="451"/>
      <c r="AF264" s="451"/>
      <c r="AG264" s="451"/>
      <c r="AH264" s="451"/>
      <c r="AI264" s="451"/>
      <c r="AJ264" s="451"/>
      <c r="AK264" s="451"/>
    </row>
    <row r="265" spans="1:37">
      <c r="A265" s="1121"/>
      <c r="B265" s="1121" t="s">
        <v>2293</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25"/>
      <c r="Z265" s="1125"/>
      <c r="AA265" s="1125"/>
      <c r="AB265" s="1125"/>
      <c r="AC265" s="385"/>
      <c r="AD265" s="385"/>
      <c r="AE265" s="451"/>
      <c r="AF265" s="451"/>
      <c r="AG265" s="451"/>
      <c r="AH265" s="451"/>
      <c r="AI265" s="451"/>
      <c r="AJ265" s="451"/>
      <c r="AK265" s="451"/>
    </row>
    <row r="266" spans="1:37">
      <c r="A266" s="1121"/>
      <c r="B266" s="1121" t="s">
        <v>2294</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25"/>
      <c r="Z266" s="1125"/>
      <c r="AA266" s="1125"/>
      <c r="AB266" s="2510">
        <f>IFERROR(('Sources and Uses Budget'!D105/'Sources and Uses Budget'!B105),0)</f>
        <v>0</v>
      </c>
      <c r="AC266" s="2511"/>
      <c r="AD266" s="2511"/>
      <c r="AE266" s="2511"/>
      <c r="AF266" s="2511"/>
      <c r="AG266" s="2512"/>
      <c r="AH266" s="679"/>
      <c r="AI266" s="679"/>
      <c r="AJ266" s="679"/>
      <c r="AK266" s="451"/>
    </row>
    <row r="267" spans="1:37">
      <c r="A267" s="1121"/>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25"/>
      <c r="Z267" s="1125"/>
      <c r="AA267" s="1125"/>
      <c r="AB267" s="1125"/>
      <c r="AC267" s="385"/>
      <c r="AD267" s="385"/>
      <c r="AE267" s="451"/>
      <c r="AF267" s="451"/>
      <c r="AG267" s="451"/>
      <c r="AH267" s="451"/>
      <c r="AI267" s="451"/>
      <c r="AJ267" s="451"/>
      <c r="AK267" s="451"/>
    </row>
    <row r="268" spans="1:37" ht="13">
      <c r="A268" s="462"/>
      <c r="B268" s="1057" t="s">
        <v>2295</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356">
        <f>AD211*(1-AB266)</f>
        <v>7082956</v>
      </c>
      <c r="AH268" s="2356"/>
      <c r="AI268" s="2356"/>
      <c r="AJ268" s="2356"/>
      <c r="AK268" s="2356"/>
    </row>
    <row r="269" spans="1:37">
      <c r="A269" s="462"/>
      <c r="B269" s="465" t="s">
        <v>2296</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356">
        <f>'Sources and Uses Budget'!C105</f>
        <v>38600081</v>
      </c>
      <c r="AH269" s="2356"/>
      <c r="AI269" s="2356"/>
      <c r="AJ269" s="2356"/>
      <c r="AK269" s="2356"/>
    </row>
    <row r="270" spans="1:37">
      <c r="A270" s="462"/>
      <c r="B270" s="464" t="s">
        <v>1656</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502">
        <f>ROUNDDOWN(IF(AND(C292="Yes",AK84=10),((AG268*2)/AG269),AG268/AG269),2)</f>
        <v>0.18</v>
      </c>
      <c r="AH270" s="2502"/>
      <c r="AI270" s="2502"/>
      <c r="AJ270" s="2502"/>
      <c r="AK270" s="2502"/>
    </row>
    <row r="271" spans="1:37" ht="13">
      <c r="A271" s="462"/>
      <c r="B271" s="775" t="s">
        <v>2297</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4"/>
      <c r="AH271" s="774"/>
      <c r="AI271" s="774"/>
      <c r="AJ271" s="774"/>
      <c r="AK271" s="774"/>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ht="13">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2298</v>
      </c>
      <c r="AK273" s="2491">
        <f>IFERROR(IF(AG270=0,0,IF((AG270*100)&gt;8,8,(AG270*100))),0)</f>
        <v>8</v>
      </c>
      <c r="AL273" s="2491"/>
      <c r="AM273" s="2492"/>
    </row>
    <row r="274" spans="1:52" ht="13"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ht="13">
      <c r="A276" s="387" t="s">
        <v>2299</v>
      </c>
      <c r="B276" s="387" t="s">
        <v>2300</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29" t="s">
        <v>2165</v>
      </c>
      <c r="AI276" s="398"/>
      <c r="AJ276" s="398"/>
      <c r="AK276" s="398"/>
      <c r="AL276" s="398"/>
      <c r="AM276" s="398"/>
      <c r="AO276" s="398"/>
    </row>
    <row r="277" spans="1:52" ht="14.25" customHeight="1">
      <c r="A277" s="1129"/>
      <c r="AI277" s="399"/>
      <c r="AJ277" s="398"/>
      <c r="AK277" s="398"/>
      <c r="AL277" s="398"/>
      <c r="AM277" s="398"/>
      <c r="AO277" s="398"/>
    </row>
    <row r="278" spans="1:52" ht="13.75" customHeight="1">
      <c r="A278" s="398"/>
      <c r="B278" s="438"/>
      <c r="C278" s="2373" t="s">
        <v>847</v>
      </c>
      <c r="D278" s="2373"/>
      <c r="E278" s="395"/>
      <c r="F278" s="2325" t="s">
        <v>2301</v>
      </c>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7"/>
      <c r="AE278" s="398"/>
      <c r="AF278" s="475"/>
      <c r="AG278" s="2500" t="s">
        <v>2241</v>
      </c>
      <c r="AH278" s="2500"/>
      <c r="AI278" s="2500"/>
      <c r="AJ278" s="2500"/>
      <c r="AK278" s="398"/>
      <c r="AL278" s="398"/>
      <c r="AM278" s="398"/>
      <c r="AO278" s="398"/>
    </row>
    <row r="279" spans="1:52" ht="13.75" customHeight="1">
      <c r="A279" s="398"/>
      <c r="B279" s="438"/>
      <c r="C279" s="476"/>
      <c r="D279" s="398"/>
      <c r="E279" s="395"/>
      <c r="F279" s="2328"/>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398"/>
      <c r="AF279" s="475"/>
      <c r="AG279" s="475"/>
      <c r="AH279" s="475"/>
      <c r="AI279" s="475"/>
      <c r="AJ279" s="398"/>
      <c r="AK279" s="398"/>
      <c r="AL279" s="398"/>
      <c r="AM279" s="398"/>
      <c r="AO279" s="398"/>
    </row>
    <row r="280" spans="1:52">
      <c r="A280" s="398"/>
      <c r="B280" s="438"/>
      <c r="C280" s="476"/>
      <c r="D280" s="398"/>
      <c r="E280" s="395"/>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398"/>
      <c r="AF280" s="475"/>
      <c r="AG280" s="475"/>
      <c r="AH280" s="475"/>
      <c r="AI280" s="475"/>
      <c r="AJ280" s="398"/>
      <c r="AK280" s="398"/>
      <c r="AL280" s="398"/>
      <c r="AM280" s="398"/>
      <c r="AO280" s="398"/>
      <c r="AP280" s="477"/>
    </row>
    <row r="281" spans="1:52">
      <c r="A281" s="398"/>
      <c r="B281" s="438"/>
      <c r="C281" s="476"/>
      <c r="D281" s="398"/>
      <c r="E281" s="395"/>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398"/>
      <c r="AF281" s="475"/>
      <c r="AG281" s="475"/>
      <c r="AH281" s="475"/>
      <c r="AI281" s="475"/>
      <c r="AJ281" s="398"/>
      <c r="AK281" s="398"/>
      <c r="AL281" s="398"/>
      <c r="AM281" s="398"/>
      <c r="AO281" s="398"/>
      <c r="AP281" s="477"/>
    </row>
    <row r="282" spans="1:52" ht="13.75" customHeight="1">
      <c r="A282" s="398"/>
      <c r="B282" s="438"/>
      <c r="C282" s="2501"/>
      <c r="D282" s="2501"/>
      <c r="E282" s="395"/>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398"/>
      <c r="AF282" s="475"/>
      <c r="AG282" s="2500"/>
      <c r="AH282" s="2500"/>
      <c r="AI282" s="2500"/>
      <c r="AJ282" s="2500"/>
      <c r="AK282" s="398"/>
      <c r="AL282" s="398"/>
      <c r="AM282" s="398"/>
    </row>
    <row r="283" spans="1:52" ht="13.75" hidden="1" customHeight="1">
      <c r="A283" s="398"/>
      <c r="C283" s="445"/>
      <c r="D283" s="445"/>
      <c r="E283" s="445"/>
      <c r="F283" s="807"/>
      <c r="G283" s="808"/>
      <c r="H283" s="808"/>
      <c r="I283" s="808"/>
      <c r="J283" s="808"/>
      <c r="K283" s="808"/>
      <c r="L283" s="808"/>
      <c r="M283" s="808"/>
      <c r="N283" s="808"/>
      <c r="O283" s="808"/>
      <c r="P283" s="808"/>
      <c r="Q283" s="808"/>
      <c r="R283" s="808"/>
      <c r="S283" s="808"/>
      <c r="T283" s="808"/>
      <c r="U283" s="808"/>
      <c r="V283" s="808"/>
      <c r="W283" s="808"/>
      <c r="X283" s="808"/>
      <c r="Y283" s="808"/>
      <c r="Z283" s="808"/>
      <c r="AA283" s="808"/>
      <c r="AB283" s="808"/>
      <c r="AC283" s="808"/>
      <c r="AD283" s="809"/>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ht="13">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2302</v>
      </c>
      <c r="AK285" s="2491">
        <f>IF($C$278="yes",10,0)</f>
        <v>10</v>
      </c>
      <c r="AL285" s="2491"/>
      <c r="AM285" s="2492"/>
      <c r="AN285" s="44"/>
    </row>
    <row r="286" spans="1:52" ht="13" thickBot="1"/>
    <row r="287" spans="1:52" ht="13"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ht="13">
      <c r="A288" s="387" t="s">
        <v>2303</v>
      </c>
      <c r="B288" s="387" t="s">
        <v>2304</v>
      </c>
      <c r="AH288" s="1129" t="s">
        <v>2165</v>
      </c>
    </row>
    <row r="289" spans="1:49" ht="15" customHeight="1">
      <c r="B289" s="388"/>
    </row>
    <row r="290" spans="1:49" ht="15" customHeight="1">
      <c r="B290" s="388" t="s">
        <v>2166</v>
      </c>
    </row>
    <row r="291" spans="1:49" ht="13">
      <c r="B291" s="398"/>
      <c r="C291" s="1122"/>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552" t="s">
        <v>2305</v>
      </c>
      <c r="B292" s="1552"/>
      <c r="C292" s="2324" t="s">
        <v>800</v>
      </c>
      <c r="D292" s="2373"/>
      <c r="E292" s="395"/>
      <c r="F292" s="2493" t="s">
        <v>2306</v>
      </c>
      <c r="G292" s="2494"/>
      <c r="H292" s="2494"/>
      <c r="I292" s="2494"/>
      <c r="J292" s="2494"/>
      <c r="K292" s="2494"/>
      <c r="L292" s="2494"/>
      <c r="M292" s="2494"/>
      <c r="N292" s="2494"/>
      <c r="O292" s="2494"/>
      <c r="P292" s="2494"/>
      <c r="Q292" s="2494"/>
      <c r="R292" s="2494"/>
      <c r="S292" s="2494"/>
      <c r="T292" s="2494"/>
      <c r="U292" s="2494"/>
      <c r="V292" s="2494"/>
      <c r="W292" s="2494"/>
      <c r="X292" s="2494"/>
      <c r="Y292" s="2494"/>
      <c r="Z292" s="2494"/>
      <c r="AA292" s="2494"/>
      <c r="AB292" s="2494"/>
      <c r="AC292" s="2494"/>
      <c r="AD292" s="2495"/>
      <c r="AE292" s="481"/>
      <c r="AF292" s="398"/>
      <c r="AG292" s="2496" t="s">
        <v>2307</v>
      </c>
      <c r="AH292" s="2496"/>
      <c r="AI292" s="2496"/>
      <c r="AJ292" s="2496"/>
      <c r="AK292" s="2496"/>
      <c r="AL292" s="398"/>
      <c r="AM292" s="398"/>
      <c r="AN292" s="44"/>
      <c r="AO292" s="11"/>
      <c r="AP292" s="23"/>
      <c r="AS292" s="416"/>
      <c r="AT292" s="416"/>
      <c r="AU292" s="416"/>
      <c r="AV292" s="25"/>
      <c r="AW292" s="25"/>
    </row>
    <row r="293" spans="1:49" ht="13">
      <c r="A293" s="1122"/>
      <c r="B293" s="438"/>
      <c r="F293" s="2351"/>
      <c r="G293" s="2352"/>
      <c r="H293" s="2352"/>
      <c r="I293" s="2352"/>
      <c r="J293" s="2352"/>
      <c r="K293" s="2352"/>
      <c r="L293" s="2352"/>
      <c r="M293" s="2352"/>
      <c r="N293" s="2352"/>
      <c r="O293" s="2352"/>
      <c r="P293" s="2352"/>
      <c r="Q293" s="2352"/>
      <c r="R293" s="2352"/>
      <c r="S293" s="2352"/>
      <c r="T293" s="2352"/>
      <c r="U293" s="2352"/>
      <c r="V293" s="2352"/>
      <c r="W293" s="2352"/>
      <c r="X293" s="2352"/>
      <c r="Y293" s="2352"/>
      <c r="Z293" s="2352"/>
      <c r="AA293" s="2352"/>
      <c r="AB293" s="2352"/>
      <c r="AC293" s="2352"/>
      <c r="AD293" s="2353"/>
      <c r="AE293" s="481"/>
      <c r="AF293" s="399"/>
      <c r="AH293" s="399"/>
      <c r="AI293" s="399"/>
      <c r="AJ293" s="398"/>
      <c r="AK293" s="398"/>
      <c r="AL293" s="398"/>
      <c r="AM293" s="398"/>
      <c r="AN293" s="44"/>
      <c r="AO293" s="11"/>
      <c r="AP293" s="398">
        <f>IF($C$292="yes",10,IF(C292="50% Met",9,0))</f>
        <v>0</v>
      </c>
      <c r="AS293" s="416"/>
      <c r="AT293" s="416"/>
      <c r="AU293" s="416"/>
      <c r="AV293" s="25"/>
      <c r="AW293" s="25"/>
    </row>
    <row r="294" spans="1:49" ht="15" customHeight="1">
      <c r="A294" s="1122"/>
      <c r="B294" s="438"/>
      <c r="F294" s="2351"/>
      <c r="G294" s="2352"/>
      <c r="H294" s="2352"/>
      <c r="I294" s="2352"/>
      <c r="J294" s="2352"/>
      <c r="K294" s="2352"/>
      <c r="L294" s="2352"/>
      <c r="M294" s="2352"/>
      <c r="N294" s="2352"/>
      <c r="O294" s="2352"/>
      <c r="P294" s="2352"/>
      <c r="Q294" s="2352"/>
      <c r="R294" s="2352"/>
      <c r="S294" s="2352"/>
      <c r="T294" s="2352"/>
      <c r="U294" s="2352"/>
      <c r="V294" s="2352"/>
      <c r="W294" s="2352"/>
      <c r="X294" s="2352"/>
      <c r="Y294" s="2352"/>
      <c r="Z294" s="2352"/>
      <c r="AA294" s="2352"/>
      <c r="AB294" s="2352"/>
      <c r="AC294" s="2352"/>
      <c r="AD294" s="2353"/>
      <c r="AE294" s="481"/>
      <c r="AF294" s="399"/>
      <c r="AH294" s="399"/>
      <c r="AI294" s="399"/>
      <c r="AJ294" s="398"/>
      <c r="AK294" s="398"/>
      <c r="AL294" s="398"/>
      <c r="AM294" s="398"/>
      <c r="AN294" s="44"/>
      <c r="AO294" s="11"/>
      <c r="AP294" s="398">
        <f>IF($C$302="yes",9,0)</f>
        <v>9</v>
      </c>
      <c r="AS294" s="416"/>
      <c r="AT294" s="416"/>
      <c r="AU294" s="416"/>
      <c r="AV294" s="25"/>
      <c r="AW294" s="25"/>
    </row>
    <row r="295" spans="1:49" ht="12.75" customHeight="1">
      <c r="A295" s="1122"/>
      <c r="B295" s="438"/>
      <c r="F295" s="2351" t="s">
        <v>2308</v>
      </c>
      <c r="G295" s="2352"/>
      <c r="H295" s="2352"/>
      <c r="I295" s="2352"/>
      <c r="J295" s="2352"/>
      <c r="K295" s="2352"/>
      <c r="L295" s="2352"/>
      <c r="M295" s="2352"/>
      <c r="N295" s="2352"/>
      <c r="O295" s="2352"/>
      <c r="P295" s="2352"/>
      <c r="Q295" s="2352"/>
      <c r="R295" s="2352"/>
      <c r="S295" s="2352"/>
      <c r="T295" s="2352"/>
      <c r="U295" s="2352"/>
      <c r="V295" s="2352"/>
      <c r="W295" s="2352"/>
      <c r="X295" s="2352"/>
      <c r="Y295" s="2352"/>
      <c r="Z295" s="2352"/>
      <c r="AA295" s="2352"/>
      <c r="AB295" s="2352"/>
      <c r="AC295" s="2352"/>
      <c r="AD295" s="2353"/>
      <c r="AE295" s="481"/>
      <c r="AF295" s="399"/>
      <c r="AH295" s="399"/>
      <c r="AI295" s="399"/>
      <c r="AJ295" s="398"/>
      <c r="AK295" s="398"/>
      <c r="AL295" s="398"/>
      <c r="AM295" s="398"/>
      <c r="AN295" s="44"/>
      <c r="AO295" s="11"/>
      <c r="AP295" s="452">
        <f>MAX(AP293,AP294)</f>
        <v>9</v>
      </c>
      <c r="AQ295" s="419" t="s">
        <v>2169</v>
      </c>
      <c r="AS295" s="416"/>
      <c r="AT295" s="416"/>
      <c r="AU295" s="416"/>
      <c r="AV295" s="25"/>
      <c r="AW295" s="25"/>
    </row>
    <row r="296" spans="1:49" ht="13">
      <c r="A296" s="1122"/>
      <c r="B296" s="438"/>
      <c r="F296" s="2351"/>
      <c r="G296" s="2352"/>
      <c r="H296" s="2352"/>
      <c r="I296" s="2352"/>
      <c r="J296" s="2352"/>
      <c r="K296" s="2352"/>
      <c r="L296" s="2352"/>
      <c r="M296" s="2352"/>
      <c r="N296" s="2352"/>
      <c r="O296" s="2352"/>
      <c r="P296" s="2352"/>
      <c r="Q296" s="2352"/>
      <c r="R296" s="2352"/>
      <c r="S296" s="2352"/>
      <c r="T296" s="2352"/>
      <c r="U296" s="2352"/>
      <c r="V296" s="2352"/>
      <c r="W296" s="2352"/>
      <c r="X296" s="2352"/>
      <c r="Y296" s="2352"/>
      <c r="Z296" s="2352"/>
      <c r="AA296" s="2352"/>
      <c r="AB296" s="2352"/>
      <c r="AC296" s="2352"/>
      <c r="AD296" s="2353"/>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351" t="s">
        <v>2309</v>
      </c>
      <c r="G297" s="2352"/>
      <c r="H297" s="2352"/>
      <c r="I297" s="2352"/>
      <c r="J297" s="2352"/>
      <c r="K297" s="2352"/>
      <c r="L297" s="2352"/>
      <c r="M297" s="2352"/>
      <c r="N297" s="2352"/>
      <c r="O297" s="2352"/>
      <c r="P297" s="2352"/>
      <c r="Q297" s="2352"/>
      <c r="R297" s="2352"/>
      <c r="S297" s="2352"/>
      <c r="T297" s="2352"/>
      <c r="U297" s="2352"/>
      <c r="V297" s="2352"/>
      <c r="W297" s="2352"/>
      <c r="X297" s="2352"/>
      <c r="Y297" s="2352"/>
      <c r="Z297" s="2352"/>
      <c r="AA297" s="2352"/>
      <c r="AB297" s="2352"/>
      <c r="AC297" s="2352"/>
      <c r="AD297" s="2353"/>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351"/>
      <c r="G298" s="2352"/>
      <c r="H298" s="2352"/>
      <c r="I298" s="2352"/>
      <c r="J298" s="2352"/>
      <c r="K298" s="2352"/>
      <c r="L298" s="2352"/>
      <c r="M298" s="2352"/>
      <c r="N298" s="2352"/>
      <c r="O298" s="2352"/>
      <c r="P298" s="2352"/>
      <c r="Q298" s="2352"/>
      <c r="R298" s="2352"/>
      <c r="S298" s="2352"/>
      <c r="T298" s="2352"/>
      <c r="U298" s="2352"/>
      <c r="V298" s="2352"/>
      <c r="W298" s="2352"/>
      <c r="X298" s="2352"/>
      <c r="Y298" s="2352"/>
      <c r="Z298" s="2352"/>
      <c r="AA298" s="2352"/>
      <c r="AB298" s="2352"/>
      <c r="AC298" s="2352"/>
      <c r="AD298" s="2353"/>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351" t="s">
        <v>2310</v>
      </c>
      <c r="G299" s="2352"/>
      <c r="H299" s="2352"/>
      <c r="I299" s="2352"/>
      <c r="J299" s="2352"/>
      <c r="K299" s="2352"/>
      <c r="L299" s="2352"/>
      <c r="M299" s="2352"/>
      <c r="N299" s="2352"/>
      <c r="O299" s="2352"/>
      <c r="P299" s="2352"/>
      <c r="Q299" s="2352"/>
      <c r="R299" s="2352"/>
      <c r="S299" s="2352"/>
      <c r="T299" s="2352"/>
      <c r="U299" s="2352"/>
      <c r="V299" s="2352"/>
      <c r="W299" s="2352"/>
      <c r="X299" s="2352"/>
      <c r="Y299" s="2352"/>
      <c r="Z299" s="2352"/>
      <c r="AA299" s="2352"/>
      <c r="AB299" s="2352"/>
      <c r="AC299" s="2352"/>
      <c r="AD299" s="2353"/>
      <c r="AE299" s="1125"/>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354"/>
      <c r="G300" s="2355"/>
      <c r="H300" s="2355"/>
      <c r="I300" s="2355"/>
      <c r="J300" s="2355"/>
      <c r="K300" s="2355"/>
      <c r="L300" s="2355"/>
      <c r="M300" s="2355"/>
      <c r="N300" s="2355"/>
      <c r="O300" s="2355"/>
      <c r="P300" s="2355"/>
      <c r="Q300" s="2355"/>
      <c r="R300" s="2355"/>
      <c r="S300" s="2355"/>
      <c r="T300" s="2355"/>
      <c r="U300" s="2355"/>
      <c r="V300" s="2355"/>
      <c r="W300" s="2355"/>
      <c r="X300" s="2355"/>
      <c r="Y300" s="2355"/>
      <c r="Z300" s="2355"/>
      <c r="AA300" s="2355"/>
      <c r="AB300" s="2355"/>
      <c r="AC300" s="2355"/>
      <c r="AD300" s="2490"/>
      <c r="AE300" s="1125"/>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25"/>
      <c r="G301" s="1125"/>
      <c r="H301" s="1125"/>
      <c r="I301" s="1125"/>
      <c r="J301" s="1125"/>
      <c r="K301" s="1125"/>
      <c r="L301" s="1125"/>
      <c r="M301" s="1125"/>
      <c r="N301" s="1125"/>
      <c r="O301" s="1125"/>
      <c r="P301" s="1125"/>
      <c r="Q301" s="1125"/>
      <c r="R301" s="1125"/>
      <c r="S301" s="1125"/>
      <c r="T301" s="1125"/>
      <c r="U301" s="1125"/>
      <c r="V301" s="1125"/>
      <c r="W301" s="1125"/>
      <c r="X301" s="1125"/>
      <c r="Y301" s="1125"/>
      <c r="Z301" s="1125"/>
      <c r="AA301" s="1125"/>
      <c r="AB301" s="1125"/>
      <c r="AC301" s="1125"/>
      <c r="AD301" s="1125"/>
      <c r="AE301" s="399"/>
      <c r="AF301" s="399"/>
      <c r="AG301" s="399"/>
      <c r="AH301" s="399"/>
      <c r="AI301" s="399"/>
      <c r="AJ301" s="398"/>
      <c r="AK301" s="398"/>
      <c r="AL301" s="398"/>
      <c r="AM301" s="398"/>
      <c r="AN301" s="44"/>
      <c r="AO301" s="11"/>
      <c r="AS301" s="416"/>
      <c r="AT301" s="416"/>
      <c r="AU301" s="416"/>
      <c r="AV301" s="25"/>
      <c r="AW301" s="25"/>
    </row>
    <row r="302" spans="1:49" ht="15" customHeight="1">
      <c r="A302" s="1552" t="s">
        <v>2311</v>
      </c>
      <c r="B302" s="1552"/>
      <c r="C302" s="2373" t="s">
        <v>847</v>
      </c>
      <c r="D302" s="2373"/>
      <c r="E302" s="395"/>
      <c r="F302" s="482" t="s">
        <v>2312</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2313</v>
      </c>
      <c r="AH302" s="399"/>
      <c r="AI302" s="399"/>
      <c r="AJ302" s="398"/>
      <c r="AK302" s="398"/>
      <c r="AL302" s="398"/>
      <c r="AM302" s="398"/>
      <c r="AN302" s="485"/>
      <c r="AO302" s="11"/>
    </row>
    <row r="303" spans="1:49">
      <c r="A303" s="398"/>
      <c r="B303" s="399"/>
      <c r="C303" s="398"/>
      <c r="D303" s="399"/>
      <c r="E303" s="398"/>
      <c r="F303" s="2475" t="s">
        <v>2314</v>
      </c>
      <c r="G303" s="2476"/>
      <c r="H303" s="2476"/>
      <c r="I303" s="2476"/>
      <c r="J303" s="2476"/>
      <c r="K303" s="2476"/>
      <c r="L303" s="2476"/>
      <c r="M303" s="2476"/>
      <c r="N303" s="2476"/>
      <c r="O303" s="2476"/>
      <c r="P303" s="2476"/>
      <c r="Q303" s="2476"/>
      <c r="R303" s="2476"/>
      <c r="S303" s="2476"/>
      <c r="T303" s="2476"/>
      <c r="U303" s="2476"/>
      <c r="V303" s="2476"/>
      <c r="W303" s="2476"/>
      <c r="X303" s="2476"/>
      <c r="Y303" s="2476"/>
      <c r="Z303" s="2476"/>
      <c r="AA303" s="2476"/>
      <c r="AB303" s="2476"/>
      <c r="AC303" s="2476"/>
      <c r="AD303" s="2477"/>
      <c r="AE303" s="399"/>
      <c r="AF303" s="399"/>
      <c r="AG303" s="399"/>
      <c r="AH303" s="399"/>
      <c r="AI303" s="399"/>
      <c r="AJ303" s="398"/>
      <c r="AK303" s="398"/>
      <c r="AL303" s="398"/>
      <c r="AM303" s="398"/>
      <c r="AR303" s="486"/>
    </row>
    <row r="304" spans="1:49" ht="15" customHeight="1">
      <c r="A304" s="398"/>
      <c r="B304" s="399"/>
      <c r="C304" s="398"/>
      <c r="D304" s="399"/>
      <c r="E304" s="398"/>
      <c r="F304" s="2475"/>
      <c r="G304" s="2476"/>
      <c r="H304" s="2476"/>
      <c r="I304" s="2476"/>
      <c r="J304" s="2476"/>
      <c r="K304" s="2476"/>
      <c r="L304" s="2476"/>
      <c r="M304" s="2476"/>
      <c r="N304" s="2476"/>
      <c r="O304" s="2476"/>
      <c r="P304" s="2476"/>
      <c r="Q304" s="2476"/>
      <c r="R304" s="2476"/>
      <c r="S304" s="2476"/>
      <c r="T304" s="2476"/>
      <c r="U304" s="2476"/>
      <c r="V304" s="2476"/>
      <c r="W304" s="2476"/>
      <c r="X304" s="2476"/>
      <c r="Y304" s="2476"/>
      <c r="Z304" s="2476"/>
      <c r="AA304" s="2476"/>
      <c r="AB304" s="2476"/>
      <c r="AC304" s="2476"/>
      <c r="AD304" s="2477"/>
      <c r="AE304" s="399"/>
      <c r="AF304" s="399"/>
      <c r="AG304" s="399"/>
      <c r="AH304" s="399"/>
      <c r="AI304" s="399"/>
      <c r="AJ304" s="398"/>
      <c r="AK304" s="398"/>
      <c r="AL304" s="398"/>
      <c r="AM304" s="398"/>
      <c r="AR304" s="486"/>
    </row>
    <row r="305" spans="1:44">
      <c r="A305" s="398"/>
      <c r="B305" s="399"/>
      <c r="C305" s="398"/>
      <c r="D305" s="399"/>
      <c r="E305" s="398"/>
      <c r="F305" s="2475"/>
      <c r="G305" s="2476"/>
      <c r="H305" s="2476"/>
      <c r="I305" s="2476"/>
      <c r="J305" s="2476"/>
      <c r="K305" s="2476"/>
      <c r="L305" s="2476"/>
      <c r="M305" s="2476"/>
      <c r="N305" s="2476"/>
      <c r="O305" s="2476"/>
      <c r="P305" s="2476"/>
      <c r="Q305" s="2476"/>
      <c r="R305" s="2476"/>
      <c r="S305" s="2476"/>
      <c r="T305" s="2476"/>
      <c r="U305" s="2476"/>
      <c r="V305" s="2476"/>
      <c r="W305" s="2476"/>
      <c r="X305" s="2476"/>
      <c r="Y305" s="2476"/>
      <c r="Z305" s="2476"/>
      <c r="AA305" s="2476"/>
      <c r="AB305" s="2476"/>
      <c r="AC305" s="2476"/>
      <c r="AD305" s="2477"/>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497"/>
      <c r="G306" s="2498"/>
      <c r="H306" s="2498"/>
      <c r="I306" s="2498"/>
      <c r="J306" s="2498"/>
      <c r="K306" s="2498"/>
      <c r="L306" s="2498"/>
      <c r="M306" s="2498"/>
      <c r="N306" s="2498"/>
      <c r="O306" s="2498"/>
      <c r="P306" s="2498"/>
      <c r="Q306" s="2498"/>
      <c r="R306" s="2498"/>
      <c r="S306" s="2498"/>
      <c r="T306" s="2498"/>
      <c r="U306" s="2498"/>
      <c r="V306" s="2498"/>
      <c r="W306" s="2498"/>
      <c r="X306" s="2498"/>
      <c r="Y306" s="2498"/>
      <c r="Z306" s="2498"/>
      <c r="AA306" s="2498"/>
      <c r="AB306" s="2498"/>
      <c r="AC306" s="2498"/>
      <c r="AD306" s="2499"/>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t="13" hidden="1">
      <c r="A310" s="1552" t="s">
        <v>2315</v>
      </c>
      <c r="B310" s="1552"/>
      <c r="C310" s="2373" t="s">
        <v>800</v>
      </c>
      <c r="D310" s="2373"/>
      <c r="E310" s="395"/>
      <c r="F310" s="482" t="s">
        <v>2316</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2313</v>
      </c>
      <c r="AH310" s="399"/>
      <c r="AI310" s="399"/>
      <c r="AJ310" s="398"/>
      <c r="AK310" s="398"/>
      <c r="AL310" s="398"/>
      <c r="AM310" s="398"/>
      <c r="AN310" s="44"/>
      <c r="AO310" s="11"/>
    </row>
    <row r="311" spans="1:44" ht="13" hidden="1">
      <c r="A311" s="1088"/>
      <c r="B311" s="1088"/>
      <c r="C311" s="1144"/>
      <c r="D311" s="1144"/>
      <c r="E311" s="395"/>
      <c r="F311" s="2351" t="s">
        <v>2317</v>
      </c>
      <c r="G311" s="2352"/>
      <c r="H311" s="2352"/>
      <c r="I311" s="2352"/>
      <c r="J311" s="2352"/>
      <c r="K311" s="2352"/>
      <c r="L311" s="2352"/>
      <c r="M311" s="2352"/>
      <c r="N311" s="2352"/>
      <c r="O311" s="2352"/>
      <c r="P311" s="2352"/>
      <c r="Q311" s="2352"/>
      <c r="R311" s="2352"/>
      <c r="S311" s="2352"/>
      <c r="T311" s="2352"/>
      <c r="U311" s="2352"/>
      <c r="V311" s="2352"/>
      <c r="W311" s="2352"/>
      <c r="X311" s="2352"/>
      <c r="Y311" s="2352"/>
      <c r="Z311" s="2352"/>
      <c r="AA311" s="2352"/>
      <c r="AB311" s="2352"/>
      <c r="AC311" s="2352"/>
      <c r="AD311" s="2353"/>
      <c r="AE311" s="399"/>
      <c r="AF311" s="399"/>
      <c r="AG311" s="388"/>
      <c r="AH311" s="399"/>
      <c r="AI311" s="399"/>
      <c r="AJ311" s="398"/>
      <c r="AK311" s="398"/>
      <c r="AL311" s="398"/>
      <c r="AM311" s="398"/>
      <c r="AN311" s="44"/>
      <c r="AO311" s="11"/>
      <c r="AP311" s="403" t="s">
        <v>1003</v>
      </c>
    </row>
    <row r="312" spans="1:44" hidden="1">
      <c r="F312" s="2351"/>
      <c r="G312" s="2352"/>
      <c r="H312" s="2352"/>
      <c r="I312" s="2352"/>
      <c r="J312" s="2352"/>
      <c r="K312" s="2352"/>
      <c r="L312" s="2352"/>
      <c r="M312" s="2352"/>
      <c r="N312" s="2352"/>
      <c r="O312" s="2352"/>
      <c r="P312" s="2352"/>
      <c r="Q312" s="2352"/>
      <c r="R312" s="2352"/>
      <c r="S312" s="2352"/>
      <c r="T312" s="2352"/>
      <c r="U312" s="2352"/>
      <c r="V312" s="2352"/>
      <c r="W312" s="2352"/>
      <c r="X312" s="2352"/>
      <c r="Y312" s="2352"/>
      <c r="Z312" s="2352"/>
      <c r="AA312" s="2352"/>
      <c r="AB312" s="2352"/>
      <c r="AC312" s="2352"/>
      <c r="AD312" s="2353"/>
      <c r="AE312" s="399"/>
      <c r="AF312" s="399"/>
      <c r="AH312" s="399"/>
      <c r="AI312" s="399"/>
      <c r="AJ312" s="398"/>
      <c r="AK312" s="398"/>
      <c r="AL312" s="398"/>
      <c r="AM312" s="398"/>
      <c r="AN312" s="44"/>
      <c r="AO312" s="11"/>
      <c r="AP312" s="403" t="s">
        <v>2318</v>
      </c>
    </row>
    <row r="313" spans="1:44" ht="13" hidden="1">
      <c r="A313" s="398"/>
      <c r="B313" s="399"/>
      <c r="C313" s="1144"/>
      <c r="D313" s="1144"/>
      <c r="E313" s="395"/>
      <c r="F313" s="489" t="s">
        <v>2319</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5"/>
      <c r="AE313" s="399"/>
      <c r="AF313" s="399"/>
      <c r="AG313" s="388"/>
      <c r="AH313" s="399"/>
      <c r="AI313" s="399"/>
      <c r="AJ313" s="398"/>
      <c r="AK313" s="398"/>
      <c r="AL313" s="398"/>
      <c r="AM313" s="398"/>
      <c r="AN313" s="44"/>
      <c r="AO313" s="11"/>
      <c r="AP313" s="403" t="s">
        <v>2320</v>
      </c>
    </row>
    <row r="314" spans="1:44" ht="13" hidden="1">
      <c r="A314" s="398"/>
      <c r="B314" s="399"/>
      <c r="C314" s="1144"/>
      <c r="D314" s="1144"/>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5"/>
      <c r="AE314" s="399"/>
      <c r="AF314" s="399"/>
      <c r="AG314" s="388"/>
      <c r="AH314" s="399"/>
      <c r="AI314" s="399"/>
      <c r="AJ314" s="398"/>
      <c r="AK314" s="398"/>
      <c r="AL314" s="398"/>
      <c r="AM314" s="398"/>
      <c r="AN314" s="44"/>
      <c r="AO314" s="11"/>
      <c r="AP314" s="403" t="s">
        <v>2321</v>
      </c>
    </row>
    <row r="315" spans="1:44" ht="12.75" hidden="1" customHeight="1">
      <c r="A315" s="398"/>
      <c r="B315" s="399"/>
      <c r="C315" s="1144"/>
      <c r="D315" s="1144"/>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144"/>
      <c r="D316" s="1144"/>
      <c r="E316" s="395"/>
      <c r="F316" s="2478" t="s">
        <v>1003</v>
      </c>
      <c r="G316" s="2479"/>
      <c r="H316" s="2479"/>
      <c r="I316" s="2479"/>
      <c r="J316" s="2479"/>
      <c r="K316" s="2479"/>
      <c r="L316" s="2479"/>
      <c r="M316" s="2479"/>
      <c r="N316" s="2479"/>
      <c r="O316" s="2479"/>
      <c r="P316" s="2479"/>
      <c r="Q316" s="2479"/>
      <c r="R316" s="2479"/>
      <c r="S316" s="2479"/>
      <c r="T316" s="2479"/>
      <c r="U316" s="2479"/>
      <c r="V316" s="2479"/>
      <c r="W316" s="2479"/>
      <c r="X316" s="2479"/>
      <c r="Y316" s="2479"/>
      <c r="Z316" s="2479"/>
      <c r="AA316" s="2479"/>
      <c r="AB316" s="2479"/>
      <c r="AC316" s="2479"/>
      <c r="AD316" s="2480"/>
      <c r="AE316" s="481"/>
      <c r="AF316" s="481"/>
      <c r="AG316" s="481"/>
      <c r="AH316" s="481"/>
      <c r="AI316" s="481"/>
      <c r="AJ316" s="481"/>
      <c r="AK316" s="481"/>
      <c r="AL316" s="398"/>
      <c r="AM316" s="398"/>
      <c r="AN316" s="44"/>
      <c r="AO316" s="11"/>
      <c r="AP316" s="23"/>
    </row>
    <row r="317" spans="1:44" ht="13" hidden="1">
      <c r="A317" s="398"/>
      <c r="B317" s="399"/>
      <c r="C317" s="1144"/>
      <c r="D317" s="1144"/>
      <c r="E317" s="395"/>
      <c r="F317" s="2478"/>
      <c r="G317" s="2479"/>
      <c r="H317" s="2479"/>
      <c r="I317" s="2479"/>
      <c r="J317" s="2479"/>
      <c r="K317" s="2479"/>
      <c r="L317" s="2479"/>
      <c r="M317" s="2479"/>
      <c r="N317" s="2479"/>
      <c r="O317" s="2479"/>
      <c r="P317" s="2479"/>
      <c r="Q317" s="2479"/>
      <c r="R317" s="2479"/>
      <c r="S317" s="2479"/>
      <c r="T317" s="2479"/>
      <c r="U317" s="2479"/>
      <c r="V317" s="2479"/>
      <c r="W317" s="2479"/>
      <c r="X317" s="2479"/>
      <c r="Y317" s="2479"/>
      <c r="Z317" s="2479"/>
      <c r="AA317" s="2479"/>
      <c r="AB317" s="2479"/>
      <c r="AC317" s="2479"/>
      <c r="AD317" s="2480"/>
      <c r="AE317" s="399"/>
      <c r="AF317" s="399"/>
      <c r="AG317" s="388"/>
      <c r="AH317" s="399"/>
      <c r="AI317" s="399"/>
      <c r="AJ317" s="398"/>
      <c r="AK317" s="398"/>
      <c r="AL317" s="398"/>
      <c r="AM317" s="398"/>
      <c r="AN317" s="44"/>
      <c r="AO317" s="11"/>
      <c r="AP317" s="23"/>
    </row>
    <row r="318" spans="1:44" ht="13" hidden="1">
      <c r="A318" s="398"/>
      <c r="B318" s="399"/>
      <c r="C318" s="1144"/>
      <c r="D318" s="1144"/>
      <c r="E318" s="395"/>
      <c r="F318" s="2478"/>
      <c r="G318" s="2479"/>
      <c r="H318" s="2479"/>
      <c r="I318" s="2479"/>
      <c r="J318" s="2479"/>
      <c r="K318" s="2479"/>
      <c r="L318" s="2479"/>
      <c r="M318" s="2479"/>
      <c r="N318" s="2479"/>
      <c r="O318" s="2479"/>
      <c r="P318" s="2479"/>
      <c r="Q318" s="2479"/>
      <c r="R318" s="2479"/>
      <c r="S318" s="2479"/>
      <c r="T318" s="2479"/>
      <c r="U318" s="2479"/>
      <c r="V318" s="2479"/>
      <c r="W318" s="2479"/>
      <c r="X318" s="2479"/>
      <c r="Y318" s="2479"/>
      <c r="Z318" s="2479"/>
      <c r="AA318" s="2479"/>
      <c r="AB318" s="2479"/>
      <c r="AC318" s="2479"/>
      <c r="AD318" s="2480"/>
      <c r="AE318" s="399"/>
      <c r="AF318" s="399"/>
      <c r="AG318" s="388"/>
      <c r="AH318" s="399"/>
      <c r="AI318" s="399"/>
      <c r="AJ318" s="398"/>
      <c r="AK318" s="398"/>
      <c r="AL318" s="398"/>
      <c r="AM318" s="398"/>
      <c r="AN318" s="44"/>
      <c r="AO318" s="11"/>
      <c r="AP318" s="23"/>
    </row>
    <row r="319" spans="1:44" ht="13" hidden="1">
      <c r="A319" s="398"/>
      <c r="B319" s="399"/>
      <c r="C319" s="1144"/>
      <c r="D319" s="1144"/>
      <c r="E319" s="395"/>
      <c r="F319" s="2478"/>
      <c r="G319" s="2479"/>
      <c r="H319" s="2479"/>
      <c r="I319" s="2479"/>
      <c r="J319" s="2479"/>
      <c r="K319" s="2479"/>
      <c r="L319" s="2479"/>
      <c r="M319" s="2479"/>
      <c r="N319" s="2479"/>
      <c r="O319" s="2479"/>
      <c r="P319" s="2479"/>
      <c r="Q319" s="2479"/>
      <c r="R319" s="2479"/>
      <c r="S319" s="2479"/>
      <c r="T319" s="2479"/>
      <c r="U319" s="2479"/>
      <c r="V319" s="2479"/>
      <c r="W319" s="2479"/>
      <c r="X319" s="2479"/>
      <c r="Y319" s="2479"/>
      <c r="Z319" s="2479"/>
      <c r="AA319" s="2479"/>
      <c r="AB319" s="2479"/>
      <c r="AC319" s="2479"/>
      <c r="AD319" s="2480"/>
      <c r="AE319" s="399"/>
      <c r="AF319" s="399"/>
      <c r="AG319" s="388"/>
      <c r="AH319" s="399"/>
      <c r="AI319" s="399"/>
      <c r="AJ319" s="398"/>
      <c r="AK319" s="398"/>
      <c r="AL319" s="398"/>
      <c r="AM319" s="398"/>
      <c r="AN319" s="44"/>
      <c r="AO319" s="11"/>
      <c r="AP319" s="23"/>
    </row>
    <row r="320" spans="1:44" ht="13" hidden="1">
      <c r="A320" s="398"/>
      <c r="B320" s="399"/>
      <c r="C320" s="1144"/>
      <c r="D320" s="1144"/>
      <c r="E320" s="395"/>
      <c r="F320" s="2481"/>
      <c r="G320" s="2482"/>
      <c r="H320" s="2482"/>
      <c r="I320" s="2482"/>
      <c r="J320" s="2482"/>
      <c r="K320" s="2482"/>
      <c r="L320" s="2482"/>
      <c r="M320" s="2482"/>
      <c r="N320" s="2482"/>
      <c r="O320" s="2482"/>
      <c r="P320" s="2482"/>
      <c r="Q320" s="2482"/>
      <c r="R320" s="2482"/>
      <c r="S320" s="2482"/>
      <c r="T320" s="2482"/>
      <c r="U320" s="2482"/>
      <c r="V320" s="2482"/>
      <c r="W320" s="2482"/>
      <c r="X320" s="2482"/>
      <c r="Y320" s="2482"/>
      <c r="Z320" s="2482"/>
      <c r="AA320" s="2482"/>
      <c r="AB320" s="2482"/>
      <c r="AC320" s="2482"/>
      <c r="AD320" s="2483"/>
      <c r="AE320" s="399"/>
      <c r="AF320" s="399"/>
      <c r="AG320" s="388"/>
      <c r="AH320" s="399"/>
      <c r="AI320" s="399"/>
      <c r="AJ320" s="398"/>
      <c r="AK320" s="398"/>
      <c r="AL320" s="398"/>
      <c r="AM320" s="398"/>
      <c r="AN320" s="44"/>
      <c r="AO320" s="11"/>
      <c r="AP320" s="23"/>
    </row>
    <row r="321" spans="1:42" ht="13" hidden="1">
      <c r="A321" s="398"/>
      <c r="B321" s="399"/>
      <c r="C321" s="1144"/>
      <c r="D321" s="1144"/>
      <c r="E321" s="395"/>
      <c r="F321" s="772"/>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t="13" hidden="1">
      <c r="A322" s="398"/>
      <c r="B322" s="399"/>
      <c r="C322" s="1144"/>
      <c r="D322" s="1144"/>
      <c r="E322" s="395"/>
      <c r="F322" s="491" t="s">
        <v>2322</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t="13" hidden="1">
      <c r="A323" s="398"/>
      <c r="B323" s="399"/>
      <c r="C323" s="1144"/>
      <c r="D323" s="1144"/>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1003</v>
      </c>
    </row>
    <row r="324" spans="1:42" ht="12.75" hidden="1" customHeight="1">
      <c r="A324" s="398"/>
      <c r="B324" s="399"/>
      <c r="C324" s="1144"/>
      <c r="D324" s="1144"/>
      <c r="E324" s="395"/>
      <c r="F324" s="493"/>
      <c r="G324" s="420" t="s">
        <v>22</v>
      </c>
      <c r="H324" s="420"/>
      <c r="I324" s="2484" t="s">
        <v>1003</v>
      </c>
      <c r="J324" s="2484"/>
      <c r="K324" s="2484"/>
      <c r="L324" s="2484"/>
      <c r="M324" s="2484"/>
      <c r="N324" s="2484"/>
      <c r="O324" s="2484"/>
      <c r="P324" s="2484"/>
      <c r="Q324" s="2484"/>
      <c r="R324" s="2484"/>
      <c r="S324" s="2484"/>
      <c r="T324" s="2484"/>
      <c r="U324" s="2484"/>
      <c r="V324" s="2484"/>
      <c r="W324" s="2484"/>
      <c r="X324" s="2484"/>
      <c r="Y324" s="2484"/>
      <c r="Z324" s="2484"/>
      <c r="AA324" s="2484"/>
      <c r="AB324" s="2484"/>
      <c r="AC324" s="2484"/>
      <c r="AD324" s="2485"/>
      <c r="AE324" s="399"/>
      <c r="AF324" s="399"/>
      <c r="AG324" s="388"/>
      <c r="AH324" s="399"/>
      <c r="AI324" s="399"/>
      <c r="AJ324" s="398"/>
      <c r="AK324" s="398"/>
      <c r="AL324" s="398"/>
      <c r="AM324" s="398"/>
      <c r="AN324" s="44"/>
      <c r="AO324" s="11"/>
      <c r="AP324" s="403" t="s">
        <v>2323</v>
      </c>
    </row>
    <row r="325" spans="1:42" ht="13" hidden="1">
      <c r="A325" s="398"/>
      <c r="B325" s="399"/>
      <c r="C325" s="1144"/>
      <c r="D325" s="1144"/>
      <c r="E325" s="395"/>
      <c r="F325" s="493"/>
      <c r="G325" s="420"/>
      <c r="H325" s="420"/>
      <c r="I325" s="2484"/>
      <c r="J325" s="2484"/>
      <c r="K325" s="2484"/>
      <c r="L325" s="2484"/>
      <c r="M325" s="2484"/>
      <c r="N325" s="2484"/>
      <c r="O325" s="2484"/>
      <c r="P325" s="2484"/>
      <c r="Q325" s="2484"/>
      <c r="R325" s="2484"/>
      <c r="S325" s="2484"/>
      <c r="T325" s="2484"/>
      <c r="U325" s="2484"/>
      <c r="V325" s="2484"/>
      <c r="W325" s="2484"/>
      <c r="X325" s="2484"/>
      <c r="Y325" s="2484"/>
      <c r="Z325" s="2484"/>
      <c r="AA325" s="2484"/>
      <c r="AB325" s="2484"/>
      <c r="AC325" s="2484"/>
      <c r="AD325" s="2485"/>
      <c r="AE325" s="399"/>
      <c r="AF325" s="399"/>
      <c r="AG325" s="388"/>
      <c r="AH325" s="399"/>
      <c r="AI325" s="399"/>
      <c r="AJ325" s="398"/>
      <c r="AK325" s="398"/>
      <c r="AL325" s="398"/>
      <c r="AM325" s="398"/>
      <c r="AN325" s="44"/>
      <c r="AO325" s="11"/>
      <c r="AP325" s="403" t="s">
        <v>2324</v>
      </c>
    </row>
    <row r="326" spans="1:42" ht="13" hidden="1">
      <c r="A326" s="398"/>
      <c r="B326" s="399"/>
      <c r="C326" s="1123"/>
      <c r="D326" s="1123"/>
      <c r="E326" s="395"/>
      <c r="F326" s="493"/>
      <c r="G326" s="420"/>
      <c r="H326" s="420"/>
      <c r="I326" s="2484"/>
      <c r="J326" s="2484"/>
      <c r="K326" s="2484"/>
      <c r="L326" s="2484"/>
      <c r="M326" s="2484"/>
      <c r="N326" s="2484"/>
      <c r="O326" s="2484"/>
      <c r="P326" s="2484"/>
      <c r="Q326" s="2484"/>
      <c r="R326" s="2484"/>
      <c r="S326" s="2484"/>
      <c r="T326" s="2484"/>
      <c r="U326" s="2484"/>
      <c r="V326" s="2484"/>
      <c r="W326" s="2484"/>
      <c r="X326" s="2484"/>
      <c r="Y326" s="2484"/>
      <c r="Z326" s="2484"/>
      <c r="AA326" s="2484"/>
      <c r="AB326" s="2484"/>
      <c r="AC326" s="2484"/>
      <c r="AD326" s="2485"/>
      <c r="AE326" s="399"/>
      <c r="AF326" s="399"/>
      <c r="AG326" s="388"/>
      <c r="AH326" s="399"/>
      <c r="AI326" s="399"/>
      <c r="AJ326" s="398"/>
      <c r="AK326" s="398"/>
      <c r="AL326" s="398"/>
      <c r="AM326" s="398"/>
      <c r="AN326" s="44"/>
      <c r="AO326" s="11"/>
      <c r="AP326" s="403" t="s">
        <v>2325</v>
      </c>
    </row>
    <row r="327" spans="1:42" ht="13" hidden="1">
      <c r="A327" s="398"/>
      <c r="B327" s="399"/>
      <c r="C327" s="1123"/>
      <c r="D327" s="1123"/>
      <c r="E327" s="395"/>
      <c r="F327" s="491"/>
      <c r="G327" s="399"/>
      <c r="H327" s="399"/>
      <c r="I327" s="2486"/>
      <c r="J327" s="2486"/>
      <c r="K327" s="2486"/>
      <c r="L327" s="2486"/>
      <c r="M327" s="2486"/>
      <c r="N327" s="2486"/>
      <c r="O327" s="2486"/>
      <c r="P327" s="2486"/>
      <c r="Q327" s="2486"/>
      <c r="R327" s="2486"/>
      <c r="S327" s="2486"/>
      <c r="T327" s="2486"/>
      <c r="U327" s="2486"/>
      <c r="V327" s="2486"/>
      <c r="W327" s="2486"/>
      <c r="X327" s="2486"/>
      <c r="Y327" s="2486"/>
      <c r="Z327" s="2486"/>
      <c r="AA327" s="2486"/>
      <c r="AB327" s="2486"/>
      <c r="AC327" s="2486"/>
      <c r="AD327" s="2487"/>
      <c r="AE327" s="399"/>
      <c r="AF327" s="399"/>
      <c r="AG327" s="388"/>
      <c r="AH327" s="399"/>
      <c r="AI327" s="399"/>
      <c r="AJ327" s="398"/>
      <c r="AK327" s="398"/>
      <c r="AL327" s="398"/>
      <c r="AM327" s="398"/>
      <c r="AN327" s="44"/>
      <c r="AO327" s="11"/>
      <c r="AP327" s="403" t="s">
        <v>2326</v>
      </c>
    </row>
    <row r="328" spans="1:42" ht="13" hidden="1">
      <c r="A328" s="398"/>
      <c r="B328" s="399"/>
      <c r="C328" s="1123"/>
      <c r="D328" s="1123"/>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t="13" hidden="1">
      <c r="A329" s="398"/>
      <c r="B329" s="399"/>
      <c r="C329" s="1123"/>
      <c r="D329" s="1123"/>
      <c r="E329" s="395"/>
      <c r="F329" s="491"/>
      <c r="G329" s="399" t="s">
        <v>27</v>
      </c>
      <c r="H329" s="399"/>
      <c r="I329" s="2484" t="s">
        <v>1003</v>
      </c>
      <c r="J329" s="2484"/>
      <c r="K329" s="2484"/>
      <c r="L329" s="2484"/>
      <c r="M329" s="2484"/>
      <c r="N329" s="2484"/>
      <c r="O329" s="2484"/>
      <c r="P329" s="2484"/>
      <c r="Q329" s="2484"/>
      <c r="R329" s="2484"/>
      <c r="S329" s="2484"/>
      <c r="T329" s="2484"/>
      <c r="U329" s="2484"/>
      <c r="V329" s="2484"/>
      <c r="W329" s="2484"/>
      <c r="X329" s="2484"/>
      <c r="Y329" s="2484"/>
      <c r="Z329" s="2484"/>
      <c r="AA329" s="2484"/>
      <c r="AB329" s="2484"/>
      <c r="AC329" s="2484"/>
      <c r="AD329" s="2485"/>
      <c r="AE329" s="399"/>
      <c r="AF329" s="399"/>
      <c r="AG329" s="388"/>
      <c r="AH329" s="399"/>
      <c r="AI329" s="399"/>
      <c r="AJ329" s="398"/>
      <c r="AK329" s="398"/>
      <c r="AL329" s="398"/>
      <c r="AM329" s="398"/>
      <c r="AN329" s="44"/>
      <c r="AO329" s="11"/>
    </row>
    <row r="330" spans="1:42" ht="13" hidden="1">
      <c r="A330" s="398"/>
      <c r="B330" s="399"/>
      <c r="C330" s="1123"/>
      <c r="D330" s="1123"/>
      <c r="E330" s="395"/>
      <c r="F330" s="491"/>
      <c r="G330" s="399"/>
      <c r="H330" s="399"/>
      <c r="I330" s="2484"/>
      <c r="J330" s="2484"/>
      <c r="K330" s="2484"/>
      <c r="L330" s="2484"/>
      <c r="M330" s="2484"/>
      <c r="N330" s="2484"/>
      <c r="O330" s="2484"/>
      <c r="P330" s="2484"/>
      <c r="Q330" s="2484"/>
      <c r="R330" s="2484"/>
      <c r="S330" s="2484"/>
      <c r="T330" s="2484"/>
      <c r="U330" s="2484"/>
      <c r="V330" s="2484"/>
      <c r="W330" s="2484"/>
      <c r="X330" s="2484"/>
      <c r="Y330" s="2484"/>
      <c r="Z330" s="2484"/>
      <c r="AA330" s="2484"/>
      <c r="AB330" s="2484"/>
      <c r="AC330" s="2484"/>
      <c r="AD330" s="2485"/>
      <c r="AE330" s="399"/>
      <c r="AF330" s="399"/>
      <c r="AG330" s="388"/>
      <c r="AH330" s="399"/>
      <c r="AI330" s="399"/>
      <c r="AJ330" s="398"/>
      <c r="AK330" s="398"/>
      <c r="AL330" s="398"/>
      <c r="AM330" s="398"/>
      <c r="AN330" s="44"/>
      <c r="AO330" s="11"/>
      <c r="AP330" s="403" t="s">
        <v>1003</v>
      </c>
    </row>
    <row r="331" spans="1:42" ht="13" hidden="1">
      <c r="A331" s="398"/>
      <c r="B331" s="399"/>
      <c r="C331" s="1123"/>
      <c r="D331" s="1123"/>
      <c r="E331" s="395"/>
      <c r="F331" s="494"/>
      <c r="G331" s="495"/>
      <c r="H331" s="495"/>
      <c r="I331" s="2486"/>
      <c r="J331" s="2486"/>
      <c r="K331" s="2486"/>
      <c r="L331" s="2486"/>
      <c r="M331" s="2486"/>
      <c r="N331" s="2486"/>
      <c r="O331" s="2486"/>
      <c r="P331" s="2486"/>
      <c r="Q331" s="2486"/>
      <c r="R331" s="2486"/>
      <c r="S331" s="2486"/>
      <c r="T331" s="2486"/>
      <c r="U331" s="2486"/>
      <c r="V331" s="2486"/>
      <c r="W331" s="2486"/>
      <c r="X331" s="2486"/>
      <c r="Y331" s="2486"/>
      <c r="Z331" s="2486"/>
      <c r="AA331" s="2486"/>
      <c r="AB331" s="2486"/>
      <c r="AC331" s="2486"/>
      <c r="AD331" s="2487"/>
      <c r="AE331" s="399"/>
      <c r="AF331" s="399"/>
      <c r="AG331" s="388"/>
      <c r="AH331" s="399"/>
      <c r="AI331" s="399"/>
      <c r="AJ331" s="398"/>
      <c r="AK331" s="398"/>
      <c r="AL331" s="398"/>
      <c r="AM331" s="398"/>
      <c r="AN331" s="44"/>
      <c r="AO331" s="11"/>
      <c r="AP331" s="403" t="s">
        <v>2327</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2328</v>
      </c>
    </row>
    <row r="333" spans="1:42" ht="12.75" hidden="1" customHeight="1">
      <c r="A333" s="1552" t="s">
        <v>2329</v>
      </c>
      <c r="B333" s="1552"/>
      <c r="C333" s="2373" t="s">
        <v>800</v>
      </c>
      <c r="D333" s="2373"/>
      <c r="E333" s="395"/>
      <c r="F333" s="2472" t="s">
        <v>2330</v>
      </c>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399"/>
      <c r="AF333" s="399"/>
      <c r="AG333" s="388" t="s">
        <v>2313</v>
      </c>
      <c r="AH333" s="399"/>
      <c r="AI333" s="399"/>
      <c r="AJ333" s="398"/>
      <c r="AK333" s="398"/>
      <c r="AL333" s="398"/>
      <c r="AM333" s="398"/>
      <c r="AN333" s="44"/>
      <c r="AO333" s="11"/>
    </row>
    <row r="334" spans="1:42" ht="15" hidden="1" customHeight="1">
      <c r="A334" s="398"/>
      <c r="B334" s="399"/>
      <c r="C334" s="399"/>
      <c r="D334" s="399"/>
      <c r="E334" s="399"/>
      <c r="F334" s="2475"/>
      <c r="G334" s="2476"/>
      <c r="H334" s="2476"/>
      <c r="I334" s="2476"/>
      <c r="J334" s="2476"/>
      <c r="K334" s="2476"/>
      <c r="L334" s="2476"/>
      <c r="M334" s="2476"/>
      <c r="N334" s="2476"/>
      <c r="O334" s="2476"/>
      <c r="P334" s="2476"/>
      <c r="Q334" s="2476"/>
      <c r="R334" s="2476"/>
      <c r="S334" s="2476"/>
      <c r="T334" s="2476"/>
      <c r="U334" s="2476"/>
      <c r="V334" s="2476"/>
      <c r="W334" s="2476"/>
      <c r="X334" s="2476"/>
      <c r="Y334" s="2476"/>
      <c r="Z334" s="2476"/>
      <c r="AA334" s="2476"/>
      <c r="AB334" s="2476"/>
      <c r="AC334" s="2476"/>
      <c r="AD334" s="2477"/>
      <c r="AE334" s="399"/>
      <c r="AF334" s="399"/>
      <c r="AG334" s="399"/>
      <c r="AH334" s="399"/>
      <c r="AI334" s="399"/>
      <c r="AJ334" s="398"/>
      <c r="AK334" s="398"/>
      <c r="AL334" s="398"/>
      <c r="AM334" s="398"/>
      <c r="AN334" s="44"/>
      <c r="AO334" s="11"/>
    </row>
    <row r="335" spans="1:42" ht="15" hidden="1" customHeight="1">
      <c r="A335" s="398"/>
      <c r="B335" s="399"/>
      <c r="C335" s="399"/>
      <c r="D335" s="399"/>
      <c r="E335" s="399"/>
      <c r="F335" s="2475"/>
      <c r="G335" s="2476"/>
      <c r="H335" s="2476"/>
      <c r="I335" s="2476"/>
      <c r="J335" s="2476"/>
      <c r="K335" s="2476"/>
      <c r="L335" s="2476"/>
      <c r="M335" s="2476"/>
      <c r="N335" s="2476"/>
      <c r="O335" s="2476"/>
      <c r="P335" s="2476"/>
      <c r="Q335" s="2476"/>
      <c r="R335" s="2476"/>
      <c r="S335" s="2476"/>
      <c r="T335" s="2476"/>
      <c r="U335" s="2476"/>
      <c r="V335" s="2476"/>
      <c r="W335" s="2476"/>
      <c r="X335" s="2476"/>
      <c r="Y335" s="2476"/>
      <c r="Z335" s="2476"/>
      <c r="AA335" s="2476"/>
      <c r="AB335" s="2476"/>
      <c r="AC335" s="2476"/>
      <c r="AD335" s="2477"/>
      <c r="AE335" s="399"/>
      <c r="AF335" s="399"/>
      <c r="AG335" s="399"/>
      <c r="AH335" s="399"/>
      <c r="AI335" s="399"/>
      <c r="AJ335" s="398"/>
      <c r="AK335" s="398"/>
      <c r="AL335" s="398"/>
      <c r="AM335" s="496"/>
      <c r="AN335" s="11"/>
      <c r="AO335" s="11"/>
    </row>
    <row r="336" spans="1:42" hidden="1">
      <c r="A336" s="398"/>
      <c r="B336" s="399"/>
      <c r="C336" s="398"/>
      <c r="D336" s="399"/>
      <c r="E336" s="398"/>
      <c r="F336" s="497" t="s">
        <v>2331</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ht="13">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2332</v>
      </c>
      <c r="AK338" s="2359">
        <f>IF(NOT(OR(Application!M355="Yes",Application!M356="Yes")),0,AP295)</f>
        <v>9</v>
      </c>
      <c r="AL338" s="2360"/>
      <c r="AM338" s="2361"/>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2333</v>
      </c>
      <c r="B341" s="388" t="s">
        <v>2334</v>
      </c>
      <c r="C341" s="385"/>
      <c r="AC341" s="388"/>
      <c r="AE341" s="2392" t="s">
        <v>2165</v>
      </c>
      <c r="AF341" s="2392"/>
      <c r="AG341" s="2392"/>
      <c r="AH341" s="2392"/>
      <c r="AI341" s="2392"/>
      <c r="AJ341" s="2392"/>
      <c r="AK341" s="2392"/>
      <c r="AL341" s="388"/>
      <c r="AM341" s="388"/>
      <c r="AN341" s="435"/>
    </row>
    <row r="342" spans="1:44" s="398" customFormat="1" ht="12.75" customHeight="1">
      <c r="A342" s="388"/>
      <c r="B342" s="388"/>
      <c r="C342" s="385"/>
      <c r="AC342" s="388"/>
      <c r="AE342" s="1112"/>
      <c r="AF342" s="1112"/>
      <c r="AG342" s="1112"/>
      <c r="AH342" s="1112"/>
      <c r="AI342" s="1112"/>
      <c r="AJ342" s="1112"/>
      <c r="AK342" s="1112"/>
      <c r="AL342" s="388"/>
      <c r="AM342" s="388"/>
      <c r="AN342" s="435"/>
    </row>
    <row r="343" spans="1:44" s="398" customFormat="1" ht="12.75" customHeight="1">
      <c r="A343" s="445"/>
      <c r="B343" s="452"/>
      <c r="C343" s="2368" t="s">
        <v>2335</v>
      </c>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445"/>
      <c r="AL343" s="445"/>
      <c r="AM343" s="445"/>
      <c r="AN343" s="439"/>
    </row>
    <row r="344" spans="1:44" s="398" customFormat="1" ht="12.75" customHeight="1">
      <c r="A344" s="445"/>
      <c r="B344" s="452"/>
      <c r="C344" s="2368"/>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445"/>
      <c r="AL344" s="445"/>
      <c r="AM344" s="445"/>
      <c r="AN344" s="439"/>
    </row>
    <row r="345" spans="1:44" s="398" customFormat="1" ht="12.75" customHeight="1">
      <c r="A345" s="445"/>
      <c r="B345" s="452"/>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445"/>
      <c r="AL345" s="445"/>
      <c r="AM345" s="445"/>
      <c r="AN345" s="439"/>
      <c r="AQ345" s="416"/>
    </row>
    <row r="346" spans="1:44" s="398" customFormat="1" ht="12.75" customHeight="1">
      <c r="A346" s="445"/>
      <c r="B346" s="452"/>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445"/>
      <c r="AL346" s="445"/>
      <c r="AM346" s="445"/>
      <c r="AN346" s="439"/>
      <c r="AQ346" s="416"/>
    </row>
    <row r="347" spans="1:44" s="398" customFormat="1" ht="12.65" customHeight="1">
      <c r="A347" s="445"/>
      <c r="B347" s="452"/>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445"/>
      <c r="AL347" s="445"/>
      <c r="AM347" s="445"/>
      <c r="AN347" s="439"/>
      <c r="AQ347" s="416"/>
      <c r="AR347" s="416"/>
    </row>
    <row r="348" spans="1:44" s="398" customFormat="1" ht="45.75" customHeight="1">
      <c r="A348" s="445"/>
      <c r="B348" s="452"/>
      <c r="C348" s="2368" t="s">
        <v>2336</v>
      </c>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445"/>
      <c r="AL348" s="445"/>
      <c r="AM348" s="445"/>
      <c r="AN348" s="439"/>
      <c r="AQ348" s="416"/>
      <c r="AR348" s="416"/>
    </row>
    <row r="349" spans="1:44" s="398" customFormat="1" ht="12.65" customHeight="1">
      <c r="A349" s="445"/>
      <c r="B349" s="452"/>
      <c r="C349" s="1128"/>
      <c r="D349" s="1128"/>
      <c r="E349" s="1128"/>
      <c r="F349" s="1128"/>
      <c r="G349" s="1128"/>
      <c r="H349" s="1128"/>
      <c r="I349" s="1128"/>
      <c r="J349" s="1128"/>
      <c r="K349" s="1128"/>
      <c r="L349" s="1128"/>
      <c r="M349" s="1128"/>
      <c r="N349" s="1128"/>
      <c r="O349" s="1128"/>
      <c r="P349" s="1128"/>
      <c r="Q349" s="1128"/>
      <c r="R349" s="1128"/>
      <c r="S349" s="1128"/>
      <c r="T349" s="1128"/>
      <c r="U349" s="1128"/>
      <c r="V349" s="1128"/>
      <c r="W349" s="1128"/>
      <c r="X349" s="1128"/>
      <c r="Y349" s="1128"/>
      <c r="Z349" s="1128"/>
      <c r="AA349" s="1128"/>
      <c r="AB349" s="1128"/>
      <c r="AC349" s="1128"/>
      <c r="AD349" s="1128"/>
      <c r="AE349" s="1128"/>
      <c r="AF349" s="1128"/>
      <c r="AG349" s="1128"/>
      <c r="AH349" s="1128"/>
      <c r="AI349" s="1128"/>
      <c r="AJ349" s="1128"/>
      <c r="AK349" s="445"/>
      <c r="AL349" s="445"/>
      <c r="AM349" s="445"/>
      <c r="AN349" s="439"/>
      <c r="AQ349" s="416"/>
      <c r="AR349" s="416"/>
    </row>
    <row r="350" spans="1:44" s="398" customFormat="1" ht="12.75" customHeight="1">
      <c r="A350" s="445"/>
      <c r="B350" s="452"/>
      <c r="C350" s="2368" t="s">
        <v>2337</v>
      </c>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445"/>
      <c r="AL350" s="445"/>
      <c r="AM350" s="445"/>
      <c r="AN350" s="439"/>
      <c r="AQ350" s="416"/>
      <c r="AR350" s="416"/>
    </row>
    <row r="351" spans="1:44" s="398" customFormat="1" ht="30" customHeight="1">
      <c r="A351" s="445"/>
      <c r="B351" s="452"/>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445"/>
      <c r="AL351" s="445"/>
      <c r="AM351" s="445"/>
      <c r="AN351" s="439"/>
      <c r="AR351" s="416"/>
    </row>
    <row r="352" spans="1:44" s="398" customFormat="1" ht="12.75" customHeight="1">
      <c r="A352" s="445"/>
      <c r="B352" s="452"/>
      <c r="C352" s="2368"/>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445"/>
      <c r="AL352" s="445"/>
      <c r="AM352" s="445"/>
      <c r="AN352" s="439"/>
      <c r="AR352" s="416"/>
    </row>
    <row r="353" spans="1:46" s="398" customFormat="1" ht="12.75" customHeight="1">
      <c r="A353" s="445"/>
      <c r="B353" s="452"/>
      <c r="C353" s="2368" t="s">
        <v>2338</v>
      </c>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445"/>
      <c r="AL353" s="445"/>
      <c r="AM353" s="445"/>
      <c r="AN353" s="439"/>
      <c r="AQ353" s="416"/>
      <c r="AR353" s="416"/>
    </row>
    <row r="354" spans="1:46" s="398" customFormat="1" ht="12.75" customHeight="1">
      <c r="A354" s="445"/>
      <c r="B354" s="452"/>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445"/>
      <c r="AL354" s="445"/>
      <c r="AM354" s="445"/>
      <c r="AN354" s="439"/>
      <c r="AQ354" s="416"/>
      <c r="AR354" s="416"/>
    </row>
    <row r="355" spans="1:46" s="398" customFormat="1" ht="13.4" customHeight="1">
      <c r="A355" s="445"/>
      <c r="B355" s="452"/>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445"/>
      <c r="AL355" s="445"/>
      <c r="AM355" s="445"/>
      <c r="AN355" s="439"/>
      <c r="AQ355" s="416"/>
      <c r="AR355" s="416"/>
    </row>
    <row r="356" spans="1:46" s="398" customFormat="1" ht="12.75" customHeight="1">
      <c r="A356" s="445"/>
      <c r="B356" s="452"/>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445"/>
      <c r="AL356" s="445"/>
      <c r="AM356" s="445"/>
      <c r="AN356" s="439"/>
      <c r="AO356" s="529"/>
      <c r="AP356" s="529"/>
      <c r="AQ356" s="416"/>
    </row>
    <row r="357" spans="1:46" s="398" customFormat="1" ht="11.9" customHeight="1">
      <c r="A357" s="445"/>
      <c r="B357" s="452"/>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445"/>
      <c r="AL357" s="445"/>
      <c r="AM357" s="445"/>
      <c r="AN357" s="439"/>
      <c r="AO357" s="530" t="s">
        <v>18</v>
      </c>
      <c r="AP357" s="531">
        <f>IF(C381="Yes",5,0)</f>
        <v>5</v>
      </c>
      <c r="AS357" s="388" t="s">
        <v>2339</v>
      </c>
    </row>
    <row r="358" spans="1:46" s="398" customFormat="1" ht="12.75" customHeight="1">
      <c r="A358" s="445"/>
      <c r="B358" s="452"/>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445"/>
      <c r="AL358" s="445"/>
      <c r="AM358" s="445"/>
      <c r="AN358" s="439"/>
      <c r="AO358" s="530" t="s">
        <v>31</v>
      </c>
      <c r="AP358" s="531">
        <f>IF(C389="Yes",5,0)</f>
        <v>0</v>
      </c>
      <c r="AS358" s="2334">
        <f>IF(Application!D211="Non-Targeted",(SUM(AQ366+AQ375)),AS362)</f>
        <v>10</v>
      </c>
      <c r="AT358" s="2334"/>
    </row>
    <row r="359" spans="1:46" s="398" customFormat="1" ht="12.75" customHeight="1">
      <c r="A359" s="445"/>
      <c r="B359" s="452"/>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445"/>
      <c r="AL359" s="445"/>
      <c r="AM359" s="445"/>
      <c r="AN359" s="439"/>
      <c r="AO359" s="530" t="s">
        <v>39</v>
      </c>
      <c r="AP359" s="531">
        <f>IF(C397="Yes",7,0)</f>
        <v>0</v>
      </c>
      <c r="AS359" s="388" t="s">
        <v>2340</v>
      </c>
    </row>
    <row r="360" spans="1:46" s="398" customFormat="1" ht="12.75" customHeight="1">
      <c r="A360" s="445"/>
      <c r="B360" s="452"/>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445"/>
      <c r="AL360" s="445"/>
      <c r="AM360" s="445"/>
      <c r="AN360" s="439"/>
      <c r="AO360" s="439"/>
      <c r="AP360" s="531">
        <f>IF(C399="Yes",5,0)</f>
        <v>5</v>
      </c>
      <c r="AS360" s="2334">
        <f>IF(AND(AQ366&gt;0,AQ375&gt;0),(AQ366+AQ375)/2,0)</f>
        <v>0</v>
      </c>
      <c r="AT360" s="2334"/>
    </row>
    <row r="361" spans="1:46" s="398" customFormat="1" ht="12.75" customHeight="1">
      <c r="A361" s="445"/>
      <c r="B361" s="452"/>
      <c r="C361" s="2368"/>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445"/>
      <c r="AL361" s="445"/>
      <c r="AM361" s="445"/>
      <c r="AN361" s="439"/>
      <c r="AO361" s="530" t="s">
        <v>82</v>
      </c>
      <c r="AP361" s="531">
        <f>IF(C407="Yes",5,0)</f>
        <v>0</v>
      </c>
      <c r="AS361" s="388" t="s">
        <v>2341</v>
      </c>
    </row>
    <row r="362" spans="1:46" s="398" customFormat="1" ht="12.75" customHeight="1">
      <c r="A362" s="445"/>
      <c r="B362" s="452"/>
      <c r="C362" s="2462" t="s">
        <v>2342</v>
      </c>
      <c r="D362" s="2462"/>
      <c r="E362" s="2462"/>
      <c r="F362" s="2462"/>
      <c r="G362" s="2462"/>
      <c r="H362" s="2462"/>
      <c r="I362" s="2462"/>
      <c r="J362" s="2462"/>
      <c r="K362" s="2462"/>
      <c r="L362" s="2462"/>
      <c r="M362" s="2462"/>
      <c r="N362" s="2462"/>
      <c r="O362" s="2462"/>
      <c r="P362" s="2462"/>
      <c r="Q362" s="2462"/>
      <c r="R362" s="2462"/>
      <c r="S362" s="2462"/>
      <c r="T362" s="2462"/>
      <c r="U362" s="2462"/>
      <c r="V362" s="2462"/>
      <c r="W362" s="2462"/>
      <c r="X362" s="2462"/>
      <c r="Y362" s="2462"/>
      <c r="Z362" s="2462"/>
      <c r="AA362" s="2462"/>
      <c r="AB362" s="2462"/>
      <c r="AC362" s="2462"/>
      <c r="AD362" s="2462"/>
      <c r="AE362" s="2462"/>
      <c r="AF362" s="2462"/>
      <c r="AG362" s="2462"/>
      <c r="AH362" s="2462"/>
      <c r="AI362" s="2462"/>
      <c r="AJ362" s="2462"/>
      <c r="AK362" s="445"/>
      <c r="AL362" s="445"/>
      <c r="AM362" s="445"/>
      <c r="AN362" s="439"/>
      <c r="AO362" s="439"/>
      <c r="AP362" s="531">
        <f>IF(C409="Yes",3,0)</f>
        <v>0</v>
      </c>
      <c r="AS362" s="2334">
        <f>IF(AQ366=0,AQ375,AQ366)</f>
        <v>10</v>
      </c>
      <c r="AT362" s="2334"/>
    </row>
    <row r="363" spans="1:46" s="398" customFormat="1" ht="12.75" customHeight="1">
      <c r="A363" s="445"/>
      <c r="B363" s="452"/>
      <c r="C363" s="2462"/>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445"/>
      <c r="AL363" s="445"/>
      <c r="AM363" s="445"/>
      <c r="AN363" s="439"/>
      <c r="AO363" s="530" t="s">
        <v>86</v>
      </c>
      <c r="AP363" s="531">
        <f>IF(C412="Yes",5,0)</f>
        <v>0</v>
      </c>
    </row>
    <row r="364" spans="1:46" s="398" customFormat="1" ht="12.75" customHeight="1">
      <c r="A364" s="445"/>
      <c r="B364" s="452"/>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445"/>
      <c r="AL364" s="445"/>
      <c r="AM364" s="445"/>
      <c r="AN364" s="439"/>
      <c r="AO364" s="530" t="s">
        <v>1407</v>
      </c>
      <c r="AP364" s="531">
        <f>IF(C421="Yes",5,0)</f>
        <v>0</v>
      </c>
    </row>
    <row r="365" spans="1:46" s="398" customFormat="1" ht="11.9" customHeight="1">
      <c r="A365" s="445"/>
      <c r="B365" s="452"/>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445"/>
      <c r="AL365" s="445"/>
      <c r="AM365" s="445"/>
      <c r="AN365" s="439"/>
      <c r="AO365" s="532"/>
      <c r="AP365" s="533">
        <f>IF(C423="Yes",3,0)</f>
        <v>0</v>
      </c>
    </row>
    <row r="366" spans="1:46" s="398" customFormat="1" ht="12.65" customHeight="1">
      <c r="A366" s="445"/>
      <c r="B366" s="452"/>
      <c r="C366" s="2462"/>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445"/>
      <c r="AL366" s="445"/>
      <c r="AM366" s="445"/>
      <c r="AN366" s="439"/>
      <c r="AO366" s="534" t="s">
        <v>2343</v>
      </c>
      <c r="AP366" s="535">
        <f>SUM(AP357:AP365)</f>
        <v>10</v>
      </c>
      <c r="AQ366" s="2371">
        <f>IF(AP366&gt;0,AP366,0)</f>
        <v>10</v>
      </c>
      <c r="AR366" s="2371"/>
    </row>
    <row r="367" spans="1:46" s="398" customFormat="1" ht="12.75" customHeight="1">
      <c r="A367" s="445"/>
      <c r="B367" s="452"/>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1409</v>
      </c>
      <c r="AP368" s="531">
        <f>IF(C430="Yes",5,0)</f>
        <v>0</v>
      </c>
    </row>
    <row r="369" spans="1:81" s="398" customFormat="1" ht="12.75" customHeight="1">
      <c r="A369" s="445"/>
      <c r="B369" s="452"/>
      <c r="C369" s="2368" t="s">
        <v>2344</v>
      </c>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445"/>
      <c r="AL369" s="445"/>
      <c r="AM369" s="445"/>
      <c r="AN369" s="439"/>
      <c r="AO369" s="530" t="s">
        <v>1411</v>
      </c>
      <c r="AP369" s="531">
        <f>IF(C442="Yes",5,0)</f>
        <v>0</v>
      </c>
    </row>
    <row r="370" spans="1:81" s="398" customFormat="1" ht="12.75" customHeight="1">
      <c r="A370" s="445"/>
      <c r="B370" s="452"/>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445"/>
      <c r="AL370" s="445"/>
      <c r="AM370" s="445"/>
      <c r="AN370" s="439"/>
      <c r="AO370" s="530" t="s">
        <v>1413</v>
      </c>
      <c r="AP370" s="531">
        <f>IF(C449="Yes",5,0)</f>
        <v>0</v>
      </c>
    </row>
    <row r="371" spans="1:81" s="398" customFormat="1" ht="68.150000000000006" customHeight="1">
      <c r="A371" s="445"/>
      <c r="B371" s="452"/>
      <c r="C371" s="2368"/>
      <c r="D371" s="2368"/>
      <c r="E371" s="2368"/>
      <c r="F371" s="2368"/>
      <c r="G371" s="2368"/>
      <c r="H371" s="2368"/>
      <c r="I371" s="2368"/>
      <c r="J371" s="2368"/>
      <c r="K371" s="2368"/>
      <c r="L371" s="2368"/>
      <c r="M371" s="2368"/>
      <c r="N371" s="2368"/>
      <c r="O371" s="2368"/>
      <c r="P371" s="2368"/>
      <c r="Q371" s="2368"/>
      <c r="R371" s="2368"/>
      <c r="S371" s="2368"/>
      <c r="T371" s="2368"/>
      <c r="U371" s="2368"/>
      <c r="V371" s="2368"/>
      <c r="W371" s="2368"/>
      <c r="X371" s="2368"/>
      <c r="Y371" s="2368"/>
      <c r="Z371" s="2368"/>
      <c r="AA371" s="2368"/>
      <c r="AB371" s="2368"/>
      <c r="AC371" s="2368"/>
      <c r="AD371" s="2368"/>
      <c r="AE371" s="2368"/>
      <c r="AF371" s="2368"/>
      <c r="AG371" s="2368"/>
      <c r="AH371" s="2368"/>
      <c r="AI371" s="2368"/>
      <c r="AJ371" s="2368"/>
      <c r="AK371" s="445"/>
      <c r="AL371" s="445"/>
      <c r="AM371" s="445"/>
      <c r="AN371" s="439"/>
      <c r="AO371" s="530" t="s">
        <v>1415</v>
      </c>
      <c r="AP371" s="536">
        <f>IF(C453="Yes",5,0)</f>
        <v>0</v>
      </c>
    </row>
    <row r="372" spans="1:81" s="398" customFormat="1" ht="12.65" customHeight="1">
      <c r="A372" s="445"/>
      <c r="B372" s="452"/>
      <c r="C372" s="398" t="s">
        <v>2345</v>
      </c>
      <c r="AF372" s="445"/>
      <c r="AG372" s="445"/>
      <c r="AH372" s="445"/>
      <c r="AI372" s="445"/>
      <c r="AJ372" s="445"/>
      <c r="AK372" s="445"/>
      <c r="AL372" s="445"/>
      <c r="AM372" s="445"/>
      <c r="AN372" s="439"/>
      <c r="AO372" s="530" t="s">
        <v>1416</v>
      </c>
      <c r="AP372" s="531">
        <f>IF(C457="Yes",5,0)</f>
        <v>0</v>
      </c>
    </row>
    <row r="373" spans="1:81" s="398" customFormat="1" ht="12.75" customHeight="1">
      <c r="A373" s="445"/>
      <c r="B373" s="452"/>
      <c r="C373" s="537" t="s">
        <v>2346</v>
      </c>
      <c r="D373" s="538"/>
      <c r="E373" s="538"/>
      <c r="F373" s="538"/>
      <c r="G373" s="538"/>
      <c r="H373" s="538"/>
      <c r="I373" s="538"/>
      <c r="J373" s="538"/>
      <c r="K373" s="538"/>
      <c r="L373" s="538"/>
      <c r="M373" s="504"/>
      <c r="N373" s="504"/>
      <c r="O373" s="539"/>
      <c r="P373" s="538"/>
      <c r="Q373" s="538"/>
      <c r="R373" s="504"/>
      <c r="S373" s="504"/>
      <c r="T373" s="538"/>
      <c r="U373" s="2369">
        <f>Application!DU802-U374</f>
        <v>67</v>
      </c>
      <c r="V373" s="2369"/>
      <c r="W373" s="2369"/>
      <c r="X373" s="538"/>
      <c r="Y373" s="538"/>
      <c r="Z373" s="538"/>
      <c r="AA373" s="540"/>
      <c r="AB373" s="541"/>
      <c r="AC373" s="541"/>
      <c r="AD373" s="541"/>
      <c r="AE373" s="445"/>
      <c r="AF373" s="445"/>
      <c r="AG373" s="445"/>
      <c r="AH373" s="445"/>
      <c r="AI373" s="445"/>
      <c r="AJ373" s="445"/>
      <c r="AK373" s="445"/>
      <c r="AL373" s="445"/>
      <c r="AM373" s="445"/>
      <c r="AN373" s="439"/>
      <c r="AO373" s="530" t="s">
        <v>1417</v>
      </c>
      <c r="AP373" s="531">
        <f>IF(C466="Yes",5,0)</f>
        <v>0</v>
      </c>
    </row>
    <row r="374" spans="1:81" s="398" customFormat="1" ht="12.75" customHeight="1">
      <c r="A374" s="445"/>
      <c r="B374" s="452"/>
      <c r="C374" s="542" t="s">
        <v>2347</v>
      </c>
      <c r="D374" s="529"/>
      <c r="E374" s="529"/>
      <c r="F374" s="529"/>
      <c r="G374" s="529"/>
      <c r="H374" s="529"/>
      <c r="I374" s="529"/>
      <c r="J374" s="529"/>
      <c r="K374" s="529"/>
      <c r="L374" s="529"/>
      <c r="M374" s="529"/>
      <c r="N374" s="529"/>
      <c r="O374" s="529"/>
      <c r="P374" s="529"/>
      <c r="Q374" s="529"/>
      <c r="R374" s="529"/>
      <c r="S374" s="529"/>
      <c r="T374" s="529"/>
      <c r="U374" s="2370">
        <f>IF(Application!D211="SRO",Application!DU755,Application!AG756)</f>
        <v>27</v>
      </c>
      <c r="V374" s="2370"/>
      <c r="W374" s="2370"/>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2343</v>
      </c>
      <c r="AP375" s="546">
        <f>SUM(AP368:AP373)</f>
        <v>0</v>
      </c>
      <c r="AQ375" s="2371">
        <f>IF(AP375&gt;0,AP375,0)</f>
        <v>0</v>
      </c>
      <c r="AR375" s="2371"/>
    </row>
    <row r="376" spans="1:81" s="398" customFormat="1" ht="12.75" customHeight="1">
      <c r="A376" s="445"/>
      <c r="B376" s="11"/>
      <c r="C376" s="547" t="s">
        <v>2348</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2167</v>
      </c>
      <c r="F377" s="2362" t="s">
        <v>2349</v>
      </c>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c r="AA377" s="2362"/>
      <c r="AB377" s="2362"/>
      <c r="AC377" s="2362"/>
      <c r="AD377" s="2362"/>
      <c r="AE377" s="2362"/>
      <c r="AF377" s="2362"/>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363"/>
      <c r="G378" s="2363"/>
      <c r="H378" s="2363"/>
      <c r="I378" s="2363"/>
      <c r="J378" s="2363"/>
      <c r="K378" s="2363"/>
      <c r="L378" s="2363"/>
      <c r="M378" s="2363"/>
      <c r="N378" s="2363"/>
      <c r="O378" s="2363"/>
      <c r="P378" s="2363"/>
      <c r="Q378" s="2363"/>
      <c r="R378" s="2363"/>
      <c r="S378" s="2363"/>
      <c r="T378" s="2363"/>
      <c r="U378" s="2363"/>
      <c r="V378" s="2363"/>
      <c r="W378" s="2363"/>
      <c r="X378" s="2363"/>
      <c r="Y378" s="2363"/>
      <c r="Z378" s="2363"/>
      <c r="AA378" s="2363"/>
      <c r="AB378" s="2363"/>
      <c r="AC378" s="2363"/>
      <c r="AD378" s="2363"/>
      <c r="AE378" s="2363"/>
      <c r="AF378" s="2363"/>
      <c r="AG378" s="388"/>
      <c r="AH378" s="388"/>
      <c r="AI378" s="388"/>
      <c r="AJ378" s="388"/>
      <c r="AK378" s="388"/>
      <c r="AL378" s="1130"/>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363"/>
      <c r="G379" s="2363"/>
      <c r="H379" s="2363"/>
      <c r="I379" s="2363"/>
      <c r="J379" s="2363"/>
      <c r="K379" s="2363"/>
      <c r="L379" s="2363"/>
      <c r="M379" s="2363"/>
      <c r="N379" s="2363"/>
      <c r="O379" s="2363"/>
      <c r="P379" s="2363"/>
      <c r="Q379" s="2363"/>
      <c r="R379" s="2363"/>
      <c r="S379" s="2363"/>
      <c r="T379" s="2363"/>
      <c r="U379" s="2363"/>
      <c r="V379" s="2363"/>
      <c r="W379" s="2363"/>
      <c r="X379" s="2363"/>
      <c r="Y379" s="2363"/>
      <c r="Z379" s="2363"/>
      <c r="AA379" s="2363"/>
      <c r="AB379" s="2363"/>
      <c r="AC379" s="2363"/>
      <c r="AD379" s="2363"/>
      <c r="AE379" s="2363"/>
      <c r="AF379" s="2363"/>
      <c r="AG379" s="388"/>
      <c r="AH379" s="388"/>
      <c r="AI379" s="388"/>
      <c r="AJ379" s="388"/>
      <c r="AK379" s="388"/>
      <c r="AL379" s="1130"/>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363"/>
      <c r="G380" s="2363"/>
      <c r="H380" s="2363"/>
      <c r="I380" s="2363"/>
      <c r="J380" s="2363"/>
      <c r="K380" s="2363"/>
      <c r="L380" s="2363"/>
      <c r="M380" s="2363"/>
      <c r="N380" s="2363"/>
      <c r="O380" s="2363"/>
      <c r="P380" s="2363"/>
      <c r="Q380" s="2363"/>
      <c r="R380" s="2363"/>
      <c r="S380" s="2363"/>
      <c r="T380" s="2363"/>
      <c r="U380" s="2363"/>
      <c r="V380" s="2363"/>
      <c r="W380" s="2363"/>
      <c r="X380" s="2363"/>
      <c r="Y380" s="2363"/>
      <c r="Z380" s="2363"/>
      <c r="AA380" s="2363"/>
      <c r="AB380" s="2363"/>
      <c r="AC380" s="2363"/>
      <c r="AD380" s="2363"/>
      <c r="AE380" s="2363"/>
      <c r="AF380" s="2363"/>
      <c r="AG380" s="388"/>
      <c r="AH380" s="388"/>
      <c r="AI380" s="388"/>
      <c r="AJ380" s="388"/>
      <c r="AK380" s="388"/>
      <c r="AL380" s="1130"/>
      <c r="AM380" s="416"/>
      <c r="AN380" s="439"/>
      <c r="BS380" s="23"/>
      <c r="BT380" s="23"/>
      <c r="BU380" s="11"/>
      <c r="BV380" s="11"/>
      <c r="BW380" s="11"/>
      <c r="BX380" s="11"/>
      <c r="BY380" s="11"/>
      <c r="BZ380" s="11"/>
      <c r="CA380" s="11"/>
      <c r="CB380" s="11"/>
      <c r="CC380" s="11"/>
    </row>
    <row r="381" spans="1:81" s="398" customFormat="1" ht="12.75" customHeight="1">
      <c r="A381" s="385"/>
      <c r="B381" s="11"/>
      <c r="C381" s="2372" t="s">
        <v>847</v>
      </c>
      <c r="D381" s="2373"/>
      <c r="E381" s="554"/>
      <c r="F381" s="555" t="s">
        <v>2350</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374" t="s">
        <v>2351</v>
      </c>
      <c r="AG381" s="2374"/>
      <c r="AH381" s="2374"/>
      <c r="AI381" s="2374"/>
      <c r="AJ381" s="2374"/>
      <c r="AK381" s="2374"/>
      <c r="AL381" s="2375"/>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144"/>
      <c r="D383" s="1144"/>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129"/>
      <c r="AF383" s="1129"/>
      <c r="AG383" s="1129"/>
      <c r="AH383" s="1129"/>
      <c r="AI383" s="1129"/>
      <c r="AJ383" s="1129"/>
      <c r="AK383" s="1129"/>
      <c r="AL383" s="1129"/>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2170</v>
      </c>
      <c r="F384" s="2362" t="s">
        <v>2352</v>
      </c>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363"/>
      <c r="G385" s="2363"/>
      <c r="H385" s="2363"/>
      <c r="I385" s="2363"/>
      <c r="J385" s="2363"/>
      <c r="K385" s="2363"/>
      <c r="L385" s="2363"/>
      <c r="M385" s="2363"/>
      <c r="N385" s="2363"/>
      <c r="O385" s="2363"/>
      <c r="P385" s="2363"/>
      <c r="Q385" s="2363"/>
      <c r="R385" s="2363"/>
      <c r="S385" s="2363"/>
      <c r="T385" s="2363"/>
      <c r="U385" s="2363"/>
      <c r="V385" s="2363"/>
      <c r="W385" s="2363"/>
      <c r="X385" s="2363"/>
      <c r="Y385" s="2363"/>
      <c r="Z385" s="2363"/>
      <c r="AA385" s="2363"/>
      <c r="AB385" s="2363"/>
      <c r="AC385" s="2363"/>
      <c r="AD385" s="2363"/>
      <c r="AE385" s="2363"/>
      <c r="AF385" s="2363"/>
      <c r="AG385" s="388"/>
      <c r="AH385" s="388"/>
      <c r="AI385" s="388"/>
      <c r="AJ385" s="388"/>
      <c r="AK385" s="388"/>
      <c r="AL385" s="1130"/>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363"/>
      <c r="G386" s="2363"/>
      <c r="H386" s="2363"/>
      <c r="I386" s="2363"/>
      <c r="J386" s="2363"/>
      <c r="K386" s="2363"/>
      <c r="L386" s="2363"/>
      <c r="M386" s="2363"/>
      <c r="N386" s="2363"/>
      <c r="O386" s="2363"/>
      <c r="P386" s="2363"/>
      <c r="Q386" s="2363"/>
      <c r="R386" s="2363"/>
      <c r="S386" s="2363"/>
      <c r="T386" s="2363"/>
      <c r="U386" s="2363"/>
      <c r="V386" s="2363"/>
      <c r="W386" s="2363"/>
      <c r="X386" s="2363"/>
      <c r="Y386" s="2363"/>
      <c r="Z386" s="2363"/>
      <c r="AA386" s="2363"/>
      <c r="AB386" s="2363"/>
      <c r="AC386" s="2363"/>
      <c r="AD386" s="2363"/>
      <c r="AE386" s="2363"/>
      <c r="AF386" s="2363"/>
      <c r="AG386" s="388"/>
      <c r="AH386" s="388"/>
      <c r="AI386" s="388"/>
      <c r="AJ386" s="388"/>
      <c r="AK386" s="388"/>
      <c r="AL386" s="1130"/>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363"/>
      <c r="G387" s="2363"/>
      <c r="H387" s="2363"/>
      <c r="I387" s="2363"/>
      <c r="J387" s="2363"/>
      <c r="K387" s="2363"/>
      <c r="L387" s="2363"/>
      <c r="M387" s="2363"/>
      <c r="N387" s="2363"/>
      <c r="O387" s="2363"/>
      <c r="P387" s="2363"/>
      <c r="Q387" s="2363"/>
      <c r="R387" s="2363"/>
      <c r="S387" s="2363"/>
      <c r="T387" s="2363"/>
      <c r="U387" s="2363"/>
      <c r="V387" s="2363"/>
      <c r="W387" s="2363"/>
      <c r="X387" s="2363"/>
      <c r="Y387" s="2363"/>
      <c r="Z387" s="2363"/>
      <c r="AA387" s="2363"/>
      <c r="AB387" s="2363"/>
      <c r="AC387" s="2363"/>
      <c r="AD387" s="2363"/>
      <c r="AE387" s="2363"/>
      <c r="AF387" s="2363"/>
      <c r="AG387" s="388"/>
      <c r="AH387" s="388"/>
      <c r="AI387" s="388"/>
      <c r="AJ387" s="388"/>
      <c r="AK387" s="388"/>
      <c r="AL387" s="1130"/>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363"/>
      <c r="G388" s="2363"/>
      <c r="H388" s="2363"/>
      <c r="I388" s="2363"/>
      <c r="J388" s="2363"/>
      <c r="K388" s="2363"/>
      <c r="L388" s="2363"/>
      <c r="M388" s="2363"/>
      <c r="N388" s="2363"/>
      <c r="O388" s="2363"/>
      <c r="P388" s="2363"/>
      <c r="Q388" s="2363"/>
      <c r="R388" s="2363"/>
      <c r="S388" s="2363"/>
      <c r="T388" s="2363"/>
      <c r="U388" s="2363"/>
      <c r="V388" s="2363"/>
      <c r="W388" s="2363"/>
      <c r="X388" s="2363"/>
      <c r="Y388" s="2363"/>
      <c r="Z388" s="2363"/>
      <c r="AA388" s="2363"/>
      <c r="AB388" s="2363"/>
      <c r="AC388" s="2363"/>
      <c r="AD388" s="2363"/>
      <c r="AE388" s="2363"/>
      <c r="AF388" s="2363"/>
      <c r="AL388" s="565"/>
      <c r="AN388" s="439"/>
      <c r="BS388" s="23"/>
      <c r="BT388" s="23"/>
      <c r="BU388" s="11"/>
      <c r="BV388" s="11"/>
      <c r="BW388" s="11"/>
      <c r="BX388" s="11"/>
      <c r="BY388" s="11"/>
      <c r="BZ388" s="11"/>
      <c r="CA388" s="11"/>
      <c r="CB388" s="11"/>
      <c r="CC388" s="11"/>
    </row>
    <row r="389" spans="1:81" s="398" customFormat="1" ht="12.75" customHeight="1">
      <c r="A389" s="385"/>
      <c r="B389" s="11"/>
      <c r="C389" s="2372" t="s">
        <v>800</v>
      </c>
      <c r="D389" s="2373"/>
      <c r="E389" s="527"/>
      <c r="F389" s="555" t="s">
        <v>2353</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374" t="s">
        <v>2351</v>
      </c>
      <c r="AG389" s="2374"/>
      <c r="AH389" s="2374"/>
      <c r="AI389" s="2374"/>
      <c r="AJ389" s="2374"/>
      <c r="AK389" s="2374"/>
      <c r="AL389" s="2375"/>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2176</v>
      </c>
      <c r="F392" s="2362" t="s">
        <v>2354</v>
      </c>
      <c r="G392" s="2362"/>
      <c r="H392" s="2362"/>
      <c r="I392" s="2362"/>
      <c r="J392" s="2362"/>
      <c r="K392" s="2362"/>
      <c r="L392" s="2362"/>
      <c r="M392" s="2362"/>
      <c r="N392" s="2362"/>
      <c r="O392" s="2362"/>
      <c r="P392" s="2362"/>
      <c r="Q392" s="2362"/>
      <c r="R392" s="2362"/>
      <c r="S392" s="2362"/>
      <c r="T392" s="2362"/>
      <c r="U392" s="2362"/>
      <c r="V392" s="2362"/>
      <c r="W392" s="2362"/>
      <c r="X392" s="2362"/>
      <c r="Y392" s="2362"/>
      <c r="Z392" s="2362"/>
      <c r="AA392" s="2362"/>
      <c r="AB392" s="2362"/>
      <c r="AC392" s="2362"/>
      <c r="AD392" s="2362"/>
      <c r="AE392" s="2362"/>
      <c r="AF392" s="2362"/>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363"/>
      <c r="G393" s="2363"/>
      <c r="H393" s="2363"/>
      <c r="I393" s="2363"/>
      <c r="J393" s="2363"/>
      <c r="K393" s="2363"/>
      <c r="L393" s="2363"/>
      <c r="M393" s="2363"/>
      <c r="N393" s="2363"/>
      <c r="O393" s="2363"/>
      <c r="P393" s="2363"/>
      <c r="Q393" s="2363"/>
      <c r="R393" s="2363"/>
      <c r="S393" s="2363"/>
      <c r="T393" s="2363"/>
      <c r="U393" s="2363"/>
      <c r="V393" s="2363"/>
      <c r="W393" s="2363"/>
      <c r="X393" s="2363"/>
      <c r="Y393" s="2363"/>
      <c r="Z393" s="2363"/>
      <c r="AA393" s="2363"/>
      <c r="AB393" s="2363"/>
      <c r="AC393" s="2363"/>
      <c r="AD393" s="2363"/>
      <c r="AE393" s="2363"/>
      <c r="AF393" s="2363"/>
      <c r="AG393" s="388"/>
      <c r="AH393" s="388"/>
      <c r="AI393" s="388"/>
      <c r="AJ393" s="388"/>
      <c r="AK393" s="388"/>
      <c r="AL393" s="1130"/>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363"/>
      <c r="G394" s="2363"/>
      <c r="H394" s="2363"/>
      <c r="I394" s="2363"/>
      <c r="J394" s="2363"/>
      <c r="K394" s="2363"/>
      <c r="L394" s="2363"/>
      <c r="M394" s="2363"/>
      <c r="N394" s="2363"/>
      <c r="O394" s="2363"/>
      <c r="P394" s="2363"/>
      <c r="Q394" s="2363"/>
      <c r="R394" s="2363"/>
      <c r="S394" s="2363"/>
      <c r="T394" s="2363"/>
      <c r="U394" s="2363"/>
      <c r="V394" s="2363"/>
      <c r="W394" s="2363"/>
      <c r="X394" s="2363"/>
      <c r="Y394" s="2363"/>
      <c r="Z394" s="2363"/>
      <c r="AA394" s="2363"/>
      <c r="AB394" s="2363"/>
      <c r="AC394" s="2363"/>
      <c r="AD394" s="2363"/>
      <c r="AE394" s="2363"/>
      <c r="AF394" s="2363"/>
      <c r="AG394" s="388"/>
      <c r="AH394" s="388"/>
      <c r="AI394" s="388"/>
      <c r="AJ394" s="388"/>
      <c r="AK394" s="388"/>
      <c r="AL394" s="1130"/>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363"/>
      <c r="G395" s="2363"/>
      <c r="H395" s="2363"/>
      <c r="I395" s="2363"/>
      <c r="J395" s="2363"/>
      <c r="K395" s="2363"/>
      <c r="L395" s="2363"/>
      <c r="M395" s="2363"/>
      <c r="N395" s="2363"/>
      <c r="O395" s="2363"/>
      <c r="P395" s="2363"/>
      <c r="Q395" s="2363"/>
      <c r="R395" s="2363"/>
      <c r="S395" s="2363"/>
      <c r="T395" s="2363"/>
      <c r="U395" s="2363"/>
      <c r="V395" s="2363"/>
      <c r="W395" s="2363"/>
      <c r="X395" s="2363"/>
      <c r="Y395" s="2363"/>
      <c r="Z395" s="2363"/>
      <c r="AA395" s="2363"/>
      <c r="AB395" s="2363"/>
      <c r="AC395" s="2363"/>
      <c r="AD395" s="2363"/>
      <c r="AE395" s="2363"/>
      <c r="AF395" s="2363"/>
      <c r="AG395" s="388"/>
      <c r="AH395" s="388"/>
      <c r="AI395" s="388"/>
      <c r="AJ395" s="388"/>
      <c r="AK395" s="388"/>
      <c r="AL395" s="1130"/>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363"/>
      <c r="G396" s="2363"/>
      <c r="H396" s="2363"/>
      <c r="I396" s="2363"/>
      <c r="J396" s="2363"/>
      <c r="K396" s="2363"/>
      <c r="L396" s="2363"/>
      <c r="M396" s="2363"/>
      <c r="N396" s="2363"/>
      <c r="O396" s="2363"/>
      <c r="P396" s="2363"/>
      <c r="Q396" s="2363"/>
      <c r="R396" s="2363"/>
      <c r="S396" s="2363"/>
      <c r="T396" s="2363"/>
      <c r="U396" s="2363"/>
      <c r="V396" s="2363"/>
      <c r="W396" s="2363"/>
      <c r="X396" s="2363"/>
      <c r="Y396" s="2363"/>
      <c r="Z396" s="2363"/>
      <c r="AA396" s="2363"/>
      <c r="AB396" s="2363"/>
      <c r="AC396" s="2363"/>
      <c r="AD396" s="2363"/>
      <c r="AE396" s="2363"/>
      <c r="AF396" s="2363"/>
      <c r="AG396" s="388"/>
      <c r="AH396" s="388"/>
      <c r="AI396" s="388"/>
      <c r="AJ396" s="388"/>
      <c r="AK396" s="388"/>
      <c r="AL396" s="1130"/>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372" t="s">
        <v>800</v>
      </c>
      <c r="D397" s="2373"/>
      <c r="E397" s="527"/>
      <c r="F397" s="555" t="s">
        <v>2355</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374" t="s">
        <v>2356</v>
      </c>
      <c r="AG397" s="2374"/>
      <c r="AH397" s="2374"/>
      <c r="AI397" s="2374"/>
      <c r="AJ397" s="2374"/>
      <c r="AK397" s="2374"/>
      <c r="AL397" s="2375"/>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132"/>
      <c r="G398" s="1132"/>
      <c r="H398" s="1132"/>
      <c r="I398" s="1132"/>
      <c r="J398" s="1132"/>
      <c r="K398" s="1132"/>
      <c r="L398" s="1132"/>
      <c r="M398" s="1132"/>
      <c r="N398" s="1132"/>
      <c r="O398" s="1132"/>
      <c r="P398" s="1132"/>
      <c r="Q398" s="1132"/>
      <c r="R398" s="1132"/>
      <c r="S398" s="1132"/>
      <c r="T398" s="1132"/>
      <c r="U398" s="1132"/>
      <c r="V398" s="1132"/>
      <c r="W398" s="1132"/>
      <c r="X398" s="1132"/>
      <c r="Y398" s="1132"/>
      <c r="Z398" s="1132"/>
      <c r="AA398" s="1132"/>
      <c r="AB398" s="1132"/>
      <c r="AC398" s="1132"/>
      <c r="AD398" s="1132"/>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372" t="s">
        <v>847</v>
      </c>
      <c r="D399" s="2373"/>
      <c r="E399" s="527"/>
      <c r="F399" s="571" t="s">
        <v>2357</v>
      </c>
      <c r="G399" s="1132"/>
      <c r="H399" s="1132"/>
      <c r="I399" s="1132"/>
      <c r="J399" s="1132"/>
      <c r="K399" s="1132"/>
      <c r="L399" s="1132"/>
      <c r="M399" s="1132"/>
      <c r="N399" s="1132"/>
      <c r="O399" s="1132"/>
      <c r="P399" s="1132"/>
      <c r="Q399" s="1132"/>
      <c r="R399" s="1132"/>
      <c r="S399" s="1132"/>
      <c r="T399" s="1132"/>
      <c r="U399" s="1132"/>
      <c r="V399" s="1132"/>
      <c r="W399" s="1132"/>
      <c r="X399" s="1132"/>
      <c r="Y399" s="1132"/>
      <c r="Z399" s="1132"/>
      <c r="AA399" s="1132"/>
      <c r="AB399" s="1132"/>
      <c r="AC399" s="1132"/>
      <c r="AD399" s="1132"/>
      <c r="AF399" s="2374" t="s">
        <v>2351</v>
      </c>
      <c r="AG399" s="2374"/>
      <c r="AH399" s="2374"/>
      <c r="AI399" s="2374"/>
      <c r="AJ399" s="2374"/>
      <c r="AK399" s="2374"/>
      <c r="AL399" s="2375"/>
      <c r="AM399" s="416"/>
      <c r="AN399" s="439"/>
      <c r="BS399" s="416"/>
      <c r="BT399" s="416"/>
      <c r="BU399" s="416"/>
    </row>
    <row r="400" spans="1:81" s="398" customFormat="1" ht="12.75" customHeight="1">
      <c r="A400" s="385"/>
      <c r="B400" s="11"/>
      <c r="C400" s="572"/>
      <c r="E400" s="527"/>
      <c r="G400" s="1132"/>
      <c r="H400" s="1132"/>
      <c r="I400" s="1132"/>
      <c r="J400" s="1132"/>
      <c r="K400" s="1132"/>
      <c r="L400" s="1132"/>
      <c r="M400" s="1132"/>
      <c r="N400" s="1132"/>
      <c r="O400" s="1132"/>
      <c r="P400" s="1132"/>
      <c r="Q400" s="1132"/>
      <c r="R400" s="1132"/>
      <c r="S400" s="1132"/>
      <c r="T400" s="1132"/>
      <c r="U400" s="1132"/>
      <c r="V400" s="1132"/>
      <c r="W400" s="1132"/>
      <c r="X400" s="1132"/>
      <c r="Y400" s="1132"/>
      <c r="Z400" s="1132"/>
      <c r="AA400" s="1132"/>
      <c r="AB400" s="1132"/>
      <c r="AC400" s="1132"/>
      <c r="AD400" s="1132"/>
      <c r="AL400" s="565"/>
      <c r="AM400" s="416"/>
      <c r="AN400" s="439"/>
      <c r="BS400" s="416"/>
      <c r="BT400" s="416"/>
      <c r="BU400" s="416"/>
    </row>
    <row r="401" spans="1:81" s="398" customFormat="1" ht="12.75" customHeight="1">
      <c r="A401" s="385"/>
      <c r="B401" s="11"/>
      <c r="C401" s="573"/>
      <c r="D401" s="566"/>
      <c r="E401" s="567"/>
      <c r="F401" s="574" t="s">
        <v>2358</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2359</v>
      </c>
      <c r="F403" s="2362" t="s">
        <v>2360</v>
      </c>
      <c r="G403" s="2362"/>
      <c r="H403" s="2362"/>
      <c r="I403" s="2362"/>
      <c r="J403" s="2362"/>
      <c r="K403" s="2362"/>
      <c r="L403" s="2362"/>
      <c r="M403" s="2362"/>
      <c r="N403" s="2362"/>
      <c r="O403" s="2362"/>
      <c r="P403" s="2362"/>
      <c r="Q403" s="2362"/>
      <c r="R403" s="2362"/>
      <c r="S403" s="2362"/>
      <c r="T403" s="2362"/>
      <c r="U403" s="2362"/>
      <c r="V403" s="2362"/>
      <c r="W403" s="2362"/>
      <c r="X403" s="2362"/>
      <c r="Y403" s="2362"/>
      <c r="Z403" s="2362"/>
      <c r="AA403" s="2362"/>
      <c r="AB403" s="2362"/>
      <c r="AC403" s="2362"/>
      <c r="AD403" s="2362"/>
      <c r="AE403" s="2362"/>
      <c r="AF403" s="2362"/>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363"/>
      <c r="G404" s="2363"/>
      <c r="H404" s="2363"/>
      <c r="I404" s="2363"/>
      <c r="J404" s="2363"/>
      <c r="K404" s="2363"/>
      <c r="L404" s="2363"/>
      <c r="M404" s="2363"/>
      <c r="N404" s="2363"/>
      <c r="O404" s="2363"/>
      <c r="P404" s="2363"/>
      <c r="Q404" s="2363"/>
      <c r="R404" s="2363"/>
      <c r="S404" s="2363"/>
      <c r="T404" s="2363"/>
      <c r="U404" s="2363"/>
      <c r="V404" s="2363"/>
      <c r="W404" s="2363"/>
      <c r="X404" s="2363"/>
      <c r="Y404" s="2363"/>
      <c r="Z404" s="2363"/>
      <c r="AA404" s="2363"/>
      <c r="AB404" s="2363"/>
      <c r="AC404" s="2363"/>
      <c r="AD404" s="2363"/>
      <c r="AE404" s="2363"/>
      <c r="AF404" s="2363"/>
      <c r="AG404" s="388"/>
      <c r="AH404" s="388"/>
      <c r="AI404" s="388"/>
      <c r="AJ404" s="388"/>
      <c r="AK404" s="388"/>
      <c r="AL404" s="1130"/>
      <c r="AM404" s="416"/>
      <c r="AN404" s="439"/>
      <c r="BS404" s="416"/>
      <c r="BT404" s="416"/>
      <c r="BU404" s="416"/>
      <c r="BV404" s="416"/>
      <c r="BW404" s="416"/>
      <c r="BX404" s="416"/>
      <c r="BY404" s="416"/>
      <c r="BZ404" s="416"/>
      <c r="CA404" s="416"/>
      <c r="CB404" s="416"/>
      <c r="CC404" s="416"/>
    </row>
    <row r="405" spans="1:81" ht="13">
      <c r="A405" s="385"/>
      <c r="C405" s="564"/>
      <c r="E405" s="527"/>
      <c r="F405" s="2363"/>
      <c r="G405" s="2363"/>
      <c r="H405" s="2363"/>
      <c r="I405" s="2363"/>
      <c r="J405" s="2363"/>
      <c r="K405" s="2363"/>
      <c r="L405" s="2363"/>
      <c r="M405" s="2363"/>
      <c r="N405" s="2363"/>
      <c r="O405" s="2363"/>
      <c r="P405" s="2363"/>
      <c r="Q405" s="2363"/>
      <c r="R405" s="2363"/>
      <c r="S405" s="2363"/>
      <c r="T405" s="2363"/>
      <c r="U405" s="2363"/>
      <c r="V405" s="2363"/>
      <c r="W405" s="2363"/>
      <c r="X405" s="2363"/>
      <c r="Y405" s="2363"/>
      <c r="Z405" s="2363"/>
      <c r="AA405" s="2363"/>
      <c r="AB405" s="2363"/>
      <c r="AC405" s="2363"/>
      <c r="AD405" s="2363"/>
      <c r="AE405" s="2363"/>
      <c r="AF405" s="2363"/>
      <c r="AG405" s="388"/>
      <c r="AH405" s="388"/>
      <c r="AI405" s="388"/>
      <c r="AJ405" s="388"/>
      <c r="AK405" s="388"/>
      <c r="AL405" s="1130"/>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363"/>
      <c r="G406" s="2363"/>
      <c r="H406" s="2363"/>
      <c r="I406" s="2363"/>
      <c r="J406" s="2363"/>
      <c r="K406" s="2363"/>
      <c r="L406" s="2363"/>
      <c r="M406" s="2363"/>
      <c r="N406" s="2363"/>
      <c r="O406" s="2363"/>
      <c r="P406" s="2363"/>
      <c r="Q406" s="2363"/>
      <c r="R406" s="2363"/>
      <c r="S406" s="2363"/>
      <c r="T406" s="2363"/>
      <c r="U406" s="2363"/>
      <c r="V406" s="2363"/>
      <c r="W406" s="2363"/>
      <c r="X406" s="2363"/>
      <c r="Y406" s="2363"/>
      <c r="Z406" s="2363"/>
      <c r="AA406" s="2363"/>
      <c r="AB406" s="2363"/>
      <c r="AC406" s="2363"/>
      <c r="AD406" s="2363"/>
      <c r="AE406" s="2363"/>
      <c r="AF406" s="2363"/>
      <c r="AG406" s="388"/>
      <c r="AH406" s="388"/>
      <c r="AI406" s="388"/>
      <c r="AJ406" s="388"/>
      <c r="AK406" s="388"/>
      <c r="AL406" s="1130"/>
      <c r="AM406" s="416"/>
      <c r="AN406" s="439"/>
      <c r="BS406" s="416"/>
      <c r="BT406" s="416"/>
      <c r="BY406" s="416"/>
      <c r="BZ406" s="416"/>
      <c r="CA406" s="416"/>
      <c r="CB406" s="416"/>
      <c r="CC406" s="416"/>
    </row>
    <row r="407" spans="1:81" s="398" customFormat="1" ht="12.75" customHeight="1">
      <c r="A407" s="385"/>
      <c r="B407" s="11"/>
      <c r="C407" s="2372" t="s">
        <v>800</v>
      </c>
      <c r="D407" s="2373"/>
      <c r="E407" s="527"/>
      <c r="F407" s="555" t="s">
        <v>2361</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374" t="s">
        <v>2351</v>
      </c>
      <c r="AG407" s="2374"/>
      <c r="AH407" s="2374"/>
      <c r="AI407" s="2374"/>
      <c r="AJ407" s="2374"/>
      <c r="AK407" s="2374"/>
      <c r="AL407" s="2375"/>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372" t="s">
        <v>800</v>
      </c>
      <c r="D409" s="2373"/>
      <c r="E409" s="554"/>
      <c r="F409" s="555" t="s">
        <v>2362</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374" t="s">
        <v>2363</v>
      </c>
      <c r="AG409" s="2374"/>
      <c r="AH409" s="2374"/>
      <c r="AI409" s="2374"/>
      <c r="AJ409" s="2374"/>
      <c r="AK409" s="2374"/>
      <c r="AL409" s="2375"/>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2372" t="s">
        <v>800</v>
      </c>
      <c r="D412" s="2373"/>
      <c r="E412" s="550" t="s">
        <v>2364</v>
      </c>
      <c r="F412" s="2362" t="s">
        <v>2365</v>
      </c>
      <c r="G412" s="2362"/>
      <c r="H412" s="2362"/>
      <c r="I412" s="2362"/>
      <c r="J412" s="2362"/>
      <c r="K412" s="2362"/>
      <c r="L412" s="2362"/>
      <c r="M412" s="2362"/>
      <c r="N412" s="2362"/>
      <c r="O412" s="2362"/>
      <c r="P412" s="2362"/>
      <c r="Q412" s="2362"/>
      <c r="R412" s="2362"/>
      <c r="S412" s="2362"/>
      <c r="T412" s="2362"/>
      <c r="U412" s="2362"/>
      <c r="V412" s="2362"/>
      <c r="W412" s="2362"/>
      <c r="X412" s="2362"/>
      <c r="Y412" s="2362"/>
      <c r="Z412" s="2362"/>
      <c r="AA412" s="2362"/>
      <c r="AB412" s="2362"/>
      <c r="AC412" s="2362"/>
      <c r="AD412" s="2362"/>
      <c r="AE412" s="2362"/>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363"/>
      <c r="G413" s="2363"/>
      <c r="H413" s="2363"/>
      <c r="I413" s="2363"/>
      <c r="J413" s="2363"/>
      <c r="K413" s="2363"/>
      <c r="L413" s="2363"/>
      <c r="M413" s="2363"/>
      <c r="N413" s="2363"/>
      <c r="O413" s="2363"/>
      <c r="P413" s="2363"/>
      <c r="Q413" s="2363"/>
      <c r="R413" s="2363"/>
      <c r="S413" s="2363"/>
      <c r="T413" s="2363"/>
      <c r="U413" s="2363"/>
      <c r="V413" s="2363"/>
      <c r="W413" s="2363"/>
      <c r="X413" s="2363"/>
      <c r="Y413" s="2363"/>
      <c r="Z413" s="2363"/>
      <c r="AA413" s="2363"/>
      <c r="AB413" s="2363"/>
      <c r="AC413" s="2363"/>
      <c r="AD413" s="2363"/>
      <c r="AE413" s="2363"/>
      <c r="AF413" s="2452" t="s">
        <v>2351</v>
      </c>
      <c r="AG413" s="2452"/>
      <c r="AH413" s="2452"/>
      <c r="AI413" s="2452"/>
      <c r="AJ413" s="2452"/>
      <c r="AK413" s="2452"/>
      <c r="AL413" s="2461"/>
      <c r="AM413" s="416"/>
      <c r="AN413" s="439"/>
      <c r="BS413" s="416"/>
      <c r="BT413" s="416"/>
      <c r="BY413" s="416"/>
      <c r="BZ413" s="416"/>
      <c r="CA413" s="416"/>
      <c r="CB413" s="416"/>
      <c r="CC413" s="416"/>
    </row>
    <row r="414" spans="1:81" s="398" customFormat="1" ht="12.75" customHeight="1">
      <c r="A414" s="385"/>
      <c r="B414" s="11"/>
      <c r="C414" s="564"/>
      <c r="D414" s="11"/>
      <c r="E414" s="527"/>
      <c r="F414" s="2363"/>
      <c r="G414" s="2363"/>
      <c r="H414" s="2363"/>
      <c r="I414" s="2363"/>
      <c r="J414" s="2363"/>
      <c r="K414" s="2363"/>
      <c r="L414" s="2363"/>
      <c r="M414" s="2363"/>
      <c r="N414" s="2363"/>
      <c r="O414" s="2363"/>
      <c r="P414" s="2363"/>
      <c r="Q414" s="2363"/>
      <c r="R414" s="2363"/>
      <c r="S414" s="2363"/>
      <c r="T414" s="2363"/>
      <c r="U414" s="2363"/>
      <c r="V414" s="2363"/>
      <c r="W414" s="2363"/>
      <c r="X414" s="2363"/>
      <c r="Y414" s="2363"/>
      <c r="Z414" s="2363"/>
      <c r="AA414" s="2363"/>
      <c r="AB414" s="2363"/>
      <c r="AC414" s="2363"/>
      <c r="AD414" s="2363"/>
      <c r="AE414" s="2363"/>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364"/>
      <c r="G415" s="2364"/>
      <c r="H415" s="2364"/>
      <c r="I415" s="2364"/>
      <c r="J415" s="2364"/>
      <c r="K415" s="2364"/>
      <c r="L415" s="2364"/>
      <c r="M415" s="2364"/>
      <c r="N415" s="2364"/>
      <c r="O415" s="2364"/>
      <c r="P415" s="2364"/>
      <c r="Q415" s="2364"/>
      <c r="R415" s="2364"/>
      <c r="S415" s="2364"/>
      <c r="T415" s="2364"/>
      <c r="U415" s="2364"/>
      <c r="V415" s="2364"/>
      <c r="W415" s="2364"/>
      <c r="X415" s="2364"/>
      <c r="Y415" s="2364"/>
      <c r="Z415" s="2364"/>
      <c r="AA415" s="2364"/>
      <c r="AB415" s="2364"/>
      <c r="AC415" s="2364"/>
      <c r="AD415" s="2364"/>
      <c r="AE415" s="2364"/>
      <c r="AF415" s="428"/>
      <c r="AG415" s="570"/>
      <c r="AH415" s="561"/>
      <c r="AI415" s="561"/>
      <c r="AJ415" s="561"/>
      <c r="AK415" s="561"/>
      <c r="AL415" s="575"/>
      <c r="AM415" s="416"/>
      <c r="AN415" s="439"/>
    </row>
    <row r="416" spans="1:81" ht="13">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2366</v>
      </c>
      <c r="F417" s="2362" t="s">
        <v>2367</v>
      </c>
      <c r="G417" s="2362"/>
      <c r="H417" s="2362"/>
      <c r="I417" s="2362"/>
      <c r="J417" s="2362"/>
      <c r="K417" s="2362"/>
      <c r="L417" s="2362"/>
      <c r="M417" s="2362"/>
      <c r="N417" s="2362"/>
      <c r="O417" s="2362"/>
      <c r="P417" s="2362"/>
      <c r="Q417" s="2362"/>
      <c r="R417" s="2362"/>
      <c r="S417" s="2362"/>
      <c r="T417" s="2362"/>
      <c r="U417" s="2362"/>
      <c r="V417" s="2362"/>
      <c r="W417" s="2362"/>
      <c r="X417" s="2362"/>
      <c r="Y417" s="2362"/>
      <c r="Z417" s="2362"/>
      <c r="AA417" s="2362"/>
      <c r="AB417" s="2362"/>
      <c r="AC417" s="2362"/>
      <c r="AD417" s="2362"/>
      <c r="AE417" s="2362"/>
      <c r="AF417" s="580"/>
      <c r="AG417" s="580"/>
      <c r="AH417" s="580"/>
      <c r="AI417" s="580"/>
      <c r="AJ417" s="580"/>
      <c r="AK417" s="580"/>
      <c r="AL417" s="581"/>
      <c r="AM417" s="416"/>
    </row>
    <row r="418" spans="1:55" ht="13">
      <c r="A418" s="385"/>
      <c r="C418" s="564"/>
      <c r="E418" s="527"/>
      <c r="F418" s="2363"/>
      <c r="G418" s="2363"/>
      <c r="H418" s="2363"/>
      <c r="I418" s="2363"/>
      <c r="J418" s="2363"/>
      <c r="K418" s="2363"/>
      <c r="L418" s="2363"/>
      <c r="M418" s="2363"/>
      <c r="N418" s="2363"/>
      <c r="O418" s="2363"/>
      <c r="P418" s="2363"/>
      <c r="Q418" s="2363"/>
      <c r="R418" s="2363"/>
      <c r="S418" s="2363"/>
      <c r="T418" s="2363"/>
      <c r="U418" s="2363"/>
      <c r="V418" s="2363"/>
      <c r="W418" s="2363"/>
      <c r="X418" s="2363"/>
      <c r="Y418" s="2363"/>
      <c r="Z418" s="2363"/>
      <c r="AA418" s="2363"/>
      <c r="AB418" s="2363"/>
      <c r="AC418" s="2363"/>
      <c r="AD418" s="2363"/>
      <c r="AE418" s="2363"/>
      <c r="AF418" s="388"/>
      <c r="AG418" s="385"/>
      <c r="AH418" s="398"/>
      <c r="AI418" s="398"/>
      <c r="AJ418" s="398"/>
      <c r="AK418" s="398"/>
      <c r="AL418" s="565"/>
      <c r="AM418" s="416"/>
    </row>
    <row r="419" spans="1:55" s="398" customFormat="1" ht="12.75" customHeight="1">
      <c r="A419" s="385"/>
      <c r="B419" s="11"/>
      <c r="C419" s="564"/>
      <c r="D419" s="11"/>
      <c r="E419" s="527"/>
      <c r="F419" s="2363"/>
      <c r="G419" s="2363"/>
      <c r="H419" s="2363"/>
      <c r="I419" s="2363"/>
      <c r="J419" s="2363"/>
      <c r="K419" s="2363"/>
      <c r="L419" s="2363"/>
      <c r="M419" s="2363"/>
      <c r="N419" s="2363"/>
      <c r="O419" s="2363"/>
      <c r="P419" s="2363"/>
      <c r="Q419" s="2363"/>
      <c r="R419" s="2363"/>
      <c r="S419" s="2363"/>
      <c r="T419" s="2363"/>
      <c r="U419" s="2363"/>
      <c r="V419" s="2363"/>
      <c r="W419" s="2363"/>
      <c r="X419" s="2363"/>
      <c r="Y419" s="2363"/>
      <c r="Z419" s="2363"/>
      <c r="AA419" s="2363"/>
      <c r="AB419" s="2363"/>
      <c r="AC419" s="2363"/>
      <c r="AD419" s="2363"/>
      <c r="AE419" s="2363"/>
      <c r="AL419" s="565"/>
      <c r="AM419" s="416"/>
      <c r="AN419" s="439"/>
    </row>
    <row r="420" spans="1:55" s="398" customFormat="1" ht="12.75" customHeight="1">
      <c r="A420" s="385"/>
      <c r="B420" s="11"/>
      <c r="C420" s="572"/>
      <c r="F420" s="2363"/>
      <c r="G420" s="2363"/>
      <c r="H420" s="2363"/>
      <c r="I420" s="2363"/>
      <c r="J420" s="2363"/>
      <c r="K420" s="2363"/>
      <c r="L420" s="2363"/>
      <c r="M420" s="2363"/>
      <c r="N420" s="2363"/>
      <c r="O420" s="2363"/>
      <c r="P420" s="2363"/>
      <c r="Q420" s="2363"/>
      <c r="R420" s="2363"/>
      <c r="S420" s="2363"/>
      <c r="T420" s="2363"/>
      <c r="U420" s="2363"/>
      <c r="V420" s="2363"/>
      <c r="W420" s="2363"/>
      <c r="X420" s="2363"/>
      <c r="Y420" s="2363"/>
      <c r="Z420" s="2363"/>
      <c r="AA420" s="2363"/>
      <c r="AB420" s="2363"/>
      <c r="AC420" s="2363"/>
      <c r="AD420" s="2363"/>
      <c r="AE420" s="2363"/>
      <c r="AL420" s="565"/>
      <c r="AM420" s="416"/>
      <c r="AN420" s="439"/>
    </row>
    <row r="421" spans="1:55" s="398" customFormat="1" ht="12.75" customHeight="1">
      <c r="A421" s="385"/>
      <c r="B421" s="11"/>
      <c r="C421" s="2372" t="s">
        <v>800</v>
      </c>
      <c r="D421" s="2373"/>
      <c r="E421" s="527"/>
      <c r="F421" s="555" t="s">
        <v>2368</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452" t="s">
        <v>2351</v>
      </c>
      <c r="AG421" s="2452"/>
      <c r="AH421" s="2452"/>
      <c r="AI421" s="2452"/>
      <c r="AJ421" s="2452"/>
      <c r="AK421" s="2452"/>
      <c r="AL421" s="2461"/>
      <c r="AM421" s="416"/>
      <c r="AN421" s="439"/>
    </row>
    <row r="422" spans="1:55" s="398" customFormat="1" ht="12.75" customHeight="1">
      <c r="A422" s="385"/>
      <c r="B422" s="11"/>
      <c r="C422" s="572"/>
      <c r="AL422" s="565"/>
      <c r="AM422" s="416"/>
      <c r="AN422" s="439"/>
    </row>
    <row r="423" spans="1:55" s="398" customFormat="1" ht="12.75" customHeight="1">
      <c r="A423" s="385"/>
      <c r="B423" s="11"/>
      <c r="C423" s="2372" t="s">
        <v>800</v>
      </c>
      <c r="D423" s="2373"/>
      <c r="E423" s="554"/>
      <c r="F423" s="555" t="s">
        <v>2369</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452" t="s">
        <v>2363</v>
      </c>
      <c r="AG423" s="2452"/>
      <c r="AH423" s="2452"/>
      <c r="AI423" s="2452"/>
      <c r="AJ423" s="2452"/>
      <c r="AK423" s="2452"/>
      <c r="AL423" s="2461"/>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2370</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2371</v>
      </c>
      <c r="F427" s="2362" t="s">
        <v>2372</v>
      </c>
      <c r="G427" s="2362"/>
      <c r="H427" s="2362"/>
      <c r="I427" s="2362"/>
      <c r="J427" s="2362"/>
      <c r="K427" s="2362"/>
      <c r="L427" s="2362"/>
      <c r="M427" s="2362"/>
      <c r="N427" s="2362"/>
      <c r="O427" s="2362"/>
      <c r="P427" s="2362"/>
      <c r="Q427" s="2362"/>
      <c r="R427" s="2362"/>
      <c r="S427" s="2362"/>
      <c r="T427" s="2362"/>
      <c r="U427" s="2362"/>
      <c r="V427" s="2362"/>
      <c r="W427" s="2362"/>
      <c r="X427" s="2362"/>
      <c r="Y427" s="2362"/>
      <c r="Z427" s="2362"/>
      <c r="AA427" s="2362"/>
      <c r="AB427" s="2362"/>
      <c r="AC427" s="2362"/>
      <c r="AD427" s="2362"/>
      <c r="AE427" s="2362"/>
      <c r="AF427" s="549"/>
      <c r="AG427" s="549"/>
      <c r="AH427" s="549"/>
      <c r="AI427" s="549"/>
      <c r="AJ427" s="549"/>
      <c r="AK427" s="549"/>
      <c r="AL427" s="578"/>
      <c r="AM427" s="416"/>
      <c r="AN427" s="439"/>
    </row>
    <row r="428" spans="1:55" s="398" customFormat="1" ht="12.75" customHeight="1">
      <c r="A428" s="385"/>
      <c r="B428" s="11"/>
      <c r="C428" s="564"/>
      <c r="D428" s="11"/>
      <c r="E428" s="527"/>
      <c r="F428" s="2363"/>
      <c r="G428" s="2363"/>
      <c r="H428" s="2363"/>
      <c r="I428" s="2363"/>
      <c r="J428" s="2363"/>
      <c r="K428" s="2363"/>
      <c r="L428" s="2363"/>
      <c r="M428" s="2363"/>
      <c r="N428" s="2363"/>
      <c r="O428" s="2363"/>
      <c r="P428" s="2363"/>
      <c r="Q428" s="2363"/>
      <c r="R428" s="2363"/>
      <c r="S428" s="2363"/>
      <c r="T428" s="2363"/>
      <c r="U428" s="2363"/>
      <c r="V428" s="2363"/>
      <c r="W428" s="2363"/>
      <c r="X428" s="2363"/>
      <c r="Y428" s="2363"/>
      <c r="Z428" s="2363"/>
      <c r="AA428" s="2363"/>
      <c r="AB428" s="2363"/>
      <c r="AC428" s="2363"/>
      <c r="AD428" s="2363"/>
      <c r="AE428" s="2363"/>
      <c r="AF428" s="388"/>
      <c r="AG428" s="385"/>
      <c r="AL428" s="565"/>
      <c r="AM428" s="416"/>
      <c r="AN428" s="439"/>
    </row>
    <row r="429" spans="1:55" s="398" customFormat="1" ht="12.65" customHeight="1">
      <c r="A429" s="385"/>
      <c r="B429" s="11"/>
      <c r="C429" s="564"/>
      <c r="D429" s="11"/>
      <c r="E429" s="527"/>
      <c r="F429" s="2363"/>
      <c r="G429" s="2363"/>
      <c r="H429" s="2363"/>
      <c r="I429" s="2363"/>
      <c r="J429" s="2363"/>
      <c r="K429" s="2363"/>
      <c r="L429" s="2363"/>
      <c r="M429" s="2363"/>
      <c r="N429" s="2363"/>
      <c r="O429" s="2363"/>
      <c r="P429" s="2363"/>
      <c r="Q429" s="2363"/>
      <c r="R429" s="2363"/>
      <c r="S429" s="2363"/>
      <c r="T429" s="2363"/>
      <c r="U429" s="2363"/>
      <c r="V429" s="2363"/>
      <c r="W429" s="2363"/>
      <c r="X429" s="2363"/>
      <c r="Y429" s="2363"/>
      <c r="Z429" s="2363"/>
      <c r="AA429" s="2363"/>
      <c r="AB429" s="2363"/>
      <c r="AC429" s="2363"/>
      <c r="AD429" s="2363"/>
      <c r="AE429" s="2363"/>
      <c r="AL429" s="565"/>
      <c r="AM429" s="416"/>
      <c r="AN429" s="439"/>
    </row>
    <row r="430" spans="1:55" s="398" customFormat="1" ht="12.75" customHeight="1">
      <c r="A430" s="385"/>
      <c r="B430" s="11"/>
      <c r="C430" s="2372" t="s">
        <v>800</v>
      </c>
      <c r="D430" s="2373"/>
      <c r="E430" s="527"/>
      <c r="F430" s="555" t="s">
        <v>2373</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452" t="s">
        <v>2351</v>
      </c>
      <c r="AG430" s="2452"/>
      <c r="AH430" s="2452"/>
      <c r="AI430" s="2452"/>
      <c r="AJ430" s="2452"/>
      <c r="AK430" s="2452"/>
      <c r="AL430" s="2461"/>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144"/>
      <c r="D432" s="1144"/>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4" customHeight="1">
      <c r="A433" s="385"/>
      <c r="C433" s="579"/>
      <c r="D433" s="580"/>
      <c r="E433" s="550" t="s">
        <v>2374</v>
      </c>
      <c r="F433" s="2362" t="s">
        <v>2375</v>
      </c>
      <c r="G433" s="2362"/>
      <c r="H433" s="2362"/>
      <c r="I433" s="2362"/>
      <c r="J433" s="2362"/>
      <c r="K433" s="2362"/>
      <c r="L433" s="2362"/>
      <c r="M433" s="2362"/>
      <c r="N433" s="2362"/>
      <c r="O433" s="2362"/>
      <c r="P433" s="2362"/>
      <c r="Q433" s="2362"/>
      <c r="R433" s="2362"/>
      <c r="S433" s="2362"/>
      <c r="T433" s="2362"/>
      <c r="U433" s="2362"/>
      <c r="V433" s="2362"/>
      <c r="W433" s="2362"/>
      <c r="X433" s="2362"/>
      <c r="Y433" s="2362"/>
      <c r="Z433" s="2362"/>
      <c r="AA433" s="2362"/>
      <c r="AB433" s="2362"/>
      <c r="AC433" s="2362"/>
      <c r="AD433" s="2362"/>
      <c r="AE433" s="2362"/>
      <c r="AF433" s="580"/>
      <c r="AG433" s="580"/>
      <c r="AH433" s="580"/>
      <c r="AI433" s="580"/>
      <c r="AJ433" s="580"/>
      <c r="AK433" s="580"/>
      <c r="AL433" s="581"/>
      <c r="AM433" s="416"/>
      <c r="AO433" s="398"/>
      <c r="AP433" s="398"/>
      <c r="BD433" s="11"/>
      <c r="BE433" s="11"/>
      <c r="BF433" s="11"/>
      <c r="BG433" s="11"/>
      <c r="BH433" s="11"/>
    </row>
    <row r="434" spans="1:60" ht="13">
      <c r="A434" s="385"/>
      <c r="C434" s="564"/>
      <c r="E434" s="527"/>
      <c r="F434" s="2363"/>
      <c r="G434" s="2363"/>
      <c r="H434" s="2363"/>
      <c r="I434" s="2363"/>
      <c r="J434" s="2363"/>
      <c r="K434" s="2363"/>
      <c r="L434" s="2363"/>
      <c r="M434" s="2363"/>
      <c r="N434" s="2363"/>
      <c r="O434" s="2363"/>
      <c r="P434" s="2363"/>
      <c r="Q434" s="2363"/>
      <c r="R434" s="2363"/>
      <c r="S434" s="2363"/>
      <c r="T434" s="2363"/>
      <c r="U434" s="2363"/>
      <c r="V434" s="2363"/>
      <c r="W434" s="2363"/>
      <c r="X434" s="2363"/>
      <c r="Y434" s="2363"/>
      <c r="Z434" s="2363"/>
      <c r="AA434" s="2363"/>
      <c r="AB434" s="2363"/>
      <c r="AC434" s="2363"/>
      <c r="AD434" s="2363"/>
      <c r="AE434" s="2363"/>
      <c r="AF434" s="1118"/>
      <c r="AG434" s="1118"/>
      <c r="AH434" s="1118"/>
      <c r="AI434" s="1118"/>
      <c r="AJ434" s="1118"/>
      <c r="AK434" s="1118"/>
      <c r="AL434" s="1133"/>
      <c r="AM434" s="416"/>
      <c r="AO434" s="398"/>
      <c r="AP434" s="398"/>
    </row>
    <row r="435" spans="1:60" s="398" customFormat="1" ht="12.75" customHeight="1">
      <c r="A435" s="385"/>
      <c r="B435" s="11"/>
      <c r="C435" s="564"/>
      <c r="D435" s="11"/>
      <c r="E435" s="527"/>
      <c r="F435" s="2363"/>
      <c r="G435" s="2363"/>
      <c r="H435" s="2363"/>
      <c r="I435" s="2363"/>
      <c r="J435" s="2363"/>
      <c r="K435" s="2363"/>
      <c r="L435" s="2363"/>
      <c r="M435" s="2363"/>
      <c r="N435" s="2363"/>
      <c r="O435" s="2363"/>
      <c r="P435" s="2363"/>
      <c r="Q435" s="2363"/>
      <c r="R435" s="2363"/>
      <c r="S435" s="2363"/>
      <c r="T435" s="2363"/>
      <c r="U435" s="2363"/>
      <c r="V435" s="2363"/>
      <c r="W435" s="2363"/>
      <c r="X435" s="2363"/>
      <c r="Y435" s="2363"/>
      <c r="Z435" s="2363"/>
      <c r="AA435" s="2363"/>
      <c r="AB435" s="2363"/>
      <c r="AC435" s="2363"/>
      <c r="AD435" s="2363"/>
      <c r="AE435" s="2363"/>
      <c r="AF435" s="1118"/>
      <c r="AG435" s="1118"/>
      <c r="AH435" s="1118"/>
      <c r="AI435" s="1118"/>
      <c r="AJ435" s="1118"/>
      <c r="AK435" s="1118"/>
      <c r="AL435" s="1133"/>
      <c r="AM435" s="416"/>
      <c r="AN435" s="439"/>
    </row>
    <row r="436" spans="1:60" s="398" customFormat="1" ht="12.75" customHeight="1">
      <c r="A436" s="385"/>
      <c r="B436" s="11"/>
      <c r="C436" s="1143"/>
      <c r="D436" s="1144"/>
      <c r="E436" s="554"/>
      <c r="F436" s="2363"/>
      <c r="G436" s="2363"/>
      <c r="H436" s="2363"/>
      <c r="I436" s="2363"/>
      <c r="J436" s="2363"/>
      <c r="K436" s="2363"/>
      <c r="L436" s="2363"/>
      <c r="M436" s="2363"/>
      <c r="N436" s="2363"/>
      <c r="O436" s="2363"/>
      <c r="P436" s="2363"/>
      <c r="Q436" s="2363"/>
      <c r="R436" s="2363"/>
      <c r="S436" s="2363"/>
      <c r="T436" s="2363"/>
      <c r="U436" s="2363"/>
      <c r="V436" s="2363"/>
      <c r="W436" s="2363"/>
      <c r="X436" s="2363"/>
      <c r="Y436" s="2363"/>
      <c r="Z436" s="2363"/>
      <c r="AA436" s="2363"/>
      <c r="AB436" s="2363"/>
      <c r="AC436" s="2363"/>
      <c r="AD436" s="2363"/>
      <c r="AE436" s="2363"/>
      <c r="AF436" s="1118"/>
      <c r="AG436" s="1118"/>
      <c r="AH436" s="1118"/>
      <c r="AI436" s="1118"/>
      <c r="AJ436" s="1118"/>
      <c r="AK436" s="1118"/>
      <c r="AL436" s="1133"/>
      <c r="AM436" s="416"/>
      <c r="AN436" s="439"/>
      <c r="AO436" s="23"/>
      <c r="AP436" s="11"/>
    </row>
    <row r="437" spans="1:60" s="398" customFormat="1" ht="12.75" customHeight="1">
      <c r="A437" s="385"/>
      <c r="B437" s="11"/>
      <c r="C437" s="1143"/>
      <c r="D437" s="1144"/>
      <c r="E437" s="554"/>
      <c r="F437" s="2363"/>
      <c r="G437" s="2363"/>
      <c r="H437" s="2363"/>
      <c r="I437" s="2363"/>
      <c r="J437" s="2363"/>
      <c r="K437" s="2363"/>
      <c r="L437" s="2363"/>
      <c r="M437" s="2363"/>
      <c r="N437" s="2363"/>
      <c r="O437" s="2363"/>
      <c r="P437" s="2363"/>
      <c r="Q437" s="2363"/>
      <c r="R437" s="2363"/>
      <c r="S437" s="2363"/>
      <c r="T437" s="2363"/>
      <c r="U437" s="2363"/>
      <c r="V437" s="2363"/>
      <c r="W437" s="2363"/>
      <c r="X437" s="2363"/>
      <c r="Y437" s="2363"/>
      <c r="Z437" s="2363"/>
      <c r="AA437" s="2363"/>
      <c r="AB437" s="2363"/>
      <c r="AC437" s="2363"/>
      <c r="AD437" s="2363"/>
      <c r="AE437" s="2363"/>
      <c r="AF437" s="1118"/>
      <c r="AG437" s="1118"/>
      <c r="AH437" s="1118"/>
      <c r="AI437" s="1118"/>
      <c r="AJ437" s="1118"/>
      <c r="AK437" s="1118"/>
      <c r="AL437" s="1133"/>
      <c r="AM437" s="416"/>
      <c r="AN437" s="439"/>
    </row>
    <row r="438" spans="1:60" s="398" customFormat="1" ht="12.75" customHeight="1">
      <c r="A438" s="385"/>
      <c r="B438" s="11"/>
      <c r="C438" s="1143"/>
      <c r="D438" s="1144"/>
      <c r="E438" s="554"/>
      <c r="F438" s="2363"/>
      <c r="G438" s="2363"/>
      <c r="H438" s="2363"/>
      <c r="I438" s="2363"/>
      <c r="J438" s="2363"/>
      <c r="K438" s="2363"/>
      <c r="L438" s="2363"/>
      <c r="M438" s="2363"/>
      <c r="N438" s="2363"/>
      <c r="O438" s="2363"/>
      <c r="P438" s="2363"/>
      <c r="Q438" s="2363"/>
      <c r="R438" s="2363"/>
      <c r="S438" s="2363"/>
      <c r="T438" s="2363"/>
      <c r="U438" s="2363"/>
      <c r="V438" s="2363"/>
      <c r="W438" s="2363"/>
      <c r="X438" s="2363"/>
      <c r="Y438" s="2363"/>
      <c r="Z438" s="2363"/>
      <c r="AA438" s="2363"/>
      <c r="AB438" s="2363"/>
      <c r="AC438" s="2363"/>
      <c r="AD438" s="2363"/>
      <c r="AE438" s="2363"/>
      <c r="AF438" s="1118"/>
      <c r="AG438" s="1118"/>
      <c r="AH438" s="1118"/>
      <c r="AI438" s="1118"/>
      <c r="AJ438" s="1118"/>
      <c r="AK438" s="1118"/>
      <c r="AL438" s="1133"/>
      <c r="AM438" s="416"/>
      <c r="AN438" s="439"/>
    </row>
    <row r="439" spans="1:60" s="398" customFormat="1" ht="12.75" customHeight="1">
      <c r="A439" s="385"/>
      <c r="B439" s="11"/>
      <c r="C439" s="1143"/>
      <c r="D439" s="1144"/>
      <c r="E439" s="554"/>
      <c r="F439" s="2363"/>
      <c r="G439" s="2363"/>
      <c r="H439" s="2363"/>
      <c r="I439" s="2363"/>
      <c r="J439" s="2363"/>
      <c r="K439" s="2363"/>
      <c r="L439" s="2363"/>
      <c r="M439" s="2363"/>
      <c r="N439" s="2363"/>
      <c r="O439" s="2363"/>
      <c r="P439" s="2363"/>
      <c r="Q439" s="2363"/>
      <c r="R439" s="2363"/>
      <c r="S439" s="2363"/>
      <c r="T439" s="2363"/>
      <c r="U439" s="2363"/>
      <c r="V439" s="2363"/>
      <c r="W439" s="2363"/>
      <c r="X439" s="2363"/>
      <c r="Y439" s="2363"/>
      <c r="Z439" s="2363"/>
      <c r="AA439" s="2363"/>
      <c r="AB439" s="2363"/>
      <c r="AC439" s="2363"/>
      <c r="AD439" s="2363"/>
      <c r="AE439" s="2363"/>
      <c r="AF439" s="1118"/>
      <c r="AG439" s="1118"/>
      <c r="AH439" s="1118"/>
      <c r="AI439" s="1118"/>
      <c r="AJ439" s="1118"/>
      <c r="AK439" s="1118"/>
      <c r="AL439" s="1133"/>
      <c r="AM439" s="416"/>
      <c r="AN439" s="439"/>
    </row>
    <row r="440" spans="1:60" s="398" customFormat="1" ht="12.75" customHeight="1">
      <c r="A440" s="385"/>
      <c r="B440" s="11"/>
      <c r="C440" s="1143"/>
      <c r="D440" s="1144"/>
      <c r="E440" s="554"/>
      <c r="F440" s="2363"/>
      <c r="G440" s="2363"/>
      <c r="H440" s="2363"/>
      <c r="I440" s="2363"/>
      <c r="J440" s="2363"/>
      <c r="K440" s="2363"/>
      <c r="L440" s="2363"/>
      <c r="M440" s="2363"/>
      <c r="N440" s="2363"/>
      <c r="O440" s="2363"/>
      <c r="P440" s="2363"/>
      <c r="Q440" s="2363"/>
      <c r="R440" s="2363"/>
      <c r="S440" s="2363"/>
      <c r="T440" s="2363"/>
      <c r="U440" s="2363"/>
      <c r="V440" s="2363"/>
      <c r="W440" s="2363"/>
      <c r="X440" s="2363"/>
      <c r="Y440" s="2363"/>
      <c r="Z440" s="2363"/>
      <c r="AA440" s="2363"/>
      <c r="AB440" s="2363"/>
      <c r="AC440" s="2363"/>
      <c r="AD440" s="2363"/>
      <c r="AE440" s="2363"/>
      <c r="AF440" s="1118"/>
      <c r="AG440" s="1118"/>
      <c r="AH440" s="1118"/>
      <c r="AI440" s="1118"/>
      <c r="AJ440" s="1118"/>
      <c r="AK440" s="1118"/>
      <c r="AL440" s="1133"/>
      <c r="AM440" s="416"/>
      <c r="AN440" s="439"/>
    </row>
    <row r="441" spans="1:60" s="398" customFormat="1" ht="17.25" customHeight="1">
      <c r="A441" s="385"/>
      <c r="B441" s="11"/>
      <c r="C441" s="1143"/>
      <c r="D441" s="1144"/>
      <c r="E441" s="554"/>
      <c r="F441" s="2363"/>
      <c r="G441" s="2363"/>
      <c r="H441" s="2363"/>
      <c r="I441" s="2363"/>
      <c r="J441" s="2363"/>
      <c r="K441" s="2363"/>
      <c r="L441" s="2363"/>
      <c r="M441" s="2363"/>
      <c r="N441" s="2363"/>
      <c r="O441" s="2363"/>
      <c r="P441" s="2363"/>
      <c r="Q441" s="2363"/>
      <c r="R441" s="2363"/>
      <c r="S441" s="2363"/>
      <c r="T441" s="2363"/>
      <c r="U441" s="2363"/>
      <c r="V441" s="2363"/>
      <c r="W441" s="2363"/>
      <c r="X441" s="2363"/>
      <c r="Y441" s="2363"/>
      <c r="Z441" s="2363"/>
      <c r="AA441" s="2363"/>
      <c r="AB441" s="2363"/>
      <c r="AC441" s="2363"/>
      <c r="AD441" s="2363"/>
      <c r="AE441" s="2363"/>
      <c r="AL441" s="565"/>
      <c r="AM441" s="416"/>
      <c r="AN441" s="439"/>
    </row>
    <row r="442" spans="1:60" s="398" customFormat="1" ht="12.75" customHeight="1">
      <c r="A442" s="385"/>
      <c r="B442" s="11"/>
      <c r="C442" s="2372" t="s">
        <v>800</v>
      </c>
      <c r="D442" s="2373"/>
      <c r="E442" s="554"/>
      <c r="F442" s="438" t="s">
        <v>2376</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452" t="s">
        <v>2351</v>
      </c>
      <c r="AG442" s="2452"/>
      <c r="AH442" s="2452"/>
      <c r="AI442" s="2452"/>
      <c r="AJ442" s="2452"/>
      <c r="AK442" s="2452"/>
      <c r="AL442" s="2461"/>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144"/>
      <c r="D444" s="1144"/>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129"/>
      <c r="AF444" s="1129"/>
      <c r="AG444" s="1129"/>
      <c r="AH444" s="1129"/>
      <c r="AI444" s="1129"/>
      <c r="AJ444" s="1129"/>
      <c r="AK444" s="1129"/>
      <c r="AL444" s="1129"/>
      <c r="AM444" s="416"/>
      <c r="AN444" s="439"/>
    </row>
    <row r="445" spans="1:60" s="398" customFormat="1" ht="12.75" customHeight="1">
      <c r="A445" s="385"/>
      <c r="B445" s="11"/>
      <c r="C445" s="548"/>
      <c r="D445" s="549"/>
      <c r="E445" s="550" t="s">
        <v>2377</v>
      </c>
      <c r="F445" s="2362" t="s">
        <v>2378</v>
      </c>
      <c r="G445" s="2362"/>
      <c r="H445" s="2362"/>
      <c r="I445" s="2362"/>
      <c r="J445" s="2362"/>
      <c r="K445" s="2362"/>
      <c r="L445" s="2362"/>
      <c r="M445" s="2362"/>
      <c r="N445" s="2362"/>
      <c r="O445" s="2362"/>
      <c r="P445" s="2362"/>
      <c r="Q445" s="2362"/>
      <c r="R445" s="2362"/>
      <c r="S445" s="2362"/>
      <c r="T445" s="2362"/>
      <c r="U445" s="2362"/>
      <c r="V445" s="2362"/>
      <c r="W445" s="2362"/>
      <c r="X445" s="2362"/>
      <c r="Y445" s="2362"/>
      <c r="Z445" s="2362"/>
      <c r="AA445" s="2362"/>
      <c r="AB445" s="2362"/>
      <c r="AC445" s="2362"/>
      <c r="AD445" s="2362"/>
      <c r="AE445" s="2362"/>
      <c r="AF445" s="549"/>
      <c r="AG445" s="549"/>
      <c r="AH445" s="549"/>
      <c r="AI445" s="549"/>
      <c r="AJ445" s="549"/>
      <c r="AK445" s="549"/>
      <c r="AL445" s="578"/>
      <c r="AM445" s="416"/>
      <c r="AN445" s="439"/>
    </row>
    <row r="446" spans="1:60" s="398" customFormat="1" ht="12.75" customHeight="1">
      <c r="A446" s="385"/>
      <c r="B446" s="11"/>
      <c r="C446" s="1143"/>
      <c r="D446" s="1144"/>
      <c r="E446" s="554"/>
      <c r="F446" s="2363"/>
      <c r="G446" s="2363"/>
      <c r="H446" s="2363"/>
      <c r="I446" s="2363"/>
      <c r="J446" s="2363"/>
      <c r="K446" s="2363"/>
      <c r="L446" s="2363"/>
      <c r="M446" s="2363"/>
      <c r="N446" s="2363"/>
      <c r="O446" s="2363"/>
      <c r="P446" s="2363"/>
      <c r="Q446" s="2363"/>
      <c r="R446" s="2363"/>
      <c r="S446" s="2363"/>
      <c r="T446" s="2363"/>
      <c r="U446" s="2363"/>
      <c r="V446" s="2363"/>
      <c r="W446" s="2363"/>
      <c r="X446" s="2363"/>
      <c r="Y446" s="2363"/>
      <c r="Z446" s="2363"/>
      <c r="AA446" s="2363"/>
      <c r="AB446" s="2363"/>
      <c r="AC446" s="2363"/>
      <c r="AD446" s="2363"/>
      <c r="AE446" s="2363"/>
      <c r="AF446" s="1129"/>
      <c r="AG446" s="1129"/>
      <c r="AH446" s="1129"/>
      <c r="AI446" s="1129"/>
      <c r="AJ446" s="1129"/>
      <c r="AK446" s="1129"/>
      <c r="AL446" s="1130"/>
      <c r="AM446" s="416"/>
      <c r="AN446" s="439"/>
    </row>
    <row r="447" spans="1:60" s="398" customFormat="1" ht="12.75" customHeight="1">
      <c r="A447" s="385"/>
      <c r="B447" s="11"/>
      <c r="C447" s="1143"/>
      <c r="D447" s="1144"/>
      <c r="E447" s="554"/>
      <c r="F447" s="2363"/>
      <c r="G447" s="2363"/>
      <c r="H447" s="2363"/>
      <c r="I447" s="2363"/>
      <c r="J447" s="2363"/>
      <c r="K447" s="2363"/>
      <c r="L447" s="2363"/>
      <c r="M447" s="2363"/>
      <c r="N447" s="2363"/>
      <c r="O447" s="2363"/>
      <c r="P447" s="2363"/>
      <c r="Q447" s="2363"/>
      <c r="R447" s="2363"/>
      <c r="S447" s="2363"/>
      <c r="T447" s="2363"/>
      <c r="U447" s="2363"/>
      <c r="V447" s="2363"/>
      <c r="W447" s="2363"/>
      <c r="X447" s="2363"/>
      <c r="Y447" s="2363"/>
      <c r="Z447" s="2363"/>
      <c r="AA447" s="2363"/>
      <c r="AB447" s="2363"/>
      <c r="AC447" s="2363"/>
      <c r="AD447" s="2363"/>
      <c r="AE447" s="2363"/>
      <c r="AF447" s="1129"/>
      <c r="AG447" s="1129"/>
      <c r="AH447" s="1129"/>
      <c r="AI447" s="1129"/>
      <c r="AJ447" s="1129"/>
      <c r="AK447" s="1129"/>
      <c r="AL447" s="1130"/>
      <c r="AM447" s="416"/>
      <c r="AN447" s="439"/>
    </row>
    <row r="448" spans="1:60" s="398" customFormat="1" ht="12.75" customHeight="1">
      <c r="A448" s="385"/>
      <c r="B448" s="11"/>
      <c r="C448" s="1143"/>
      <c r="D448" s="1144"/>
      <c r="E448" s="554"/>
      <c r="F448" s="2363"/>
      <c r="G448" s="2363"/>
      <c r="H448" s="2363"/>
      <c r="I448" s="2363"/>
      <c r="J448" s="2363"/>
      <c r="K448" s="2363"/>
      <c r="L448" s="2363"/>
      <c r="M448" s="2363"/>
      <c r="N448" s="2363"/>
      <c r="O448" s="2363"/>
      <c r="P448" s="2363"/>
      <c r="Q448" s="2363"/>
      <c r="R448" s="2363"/>
      <c r="S448" s="2363"/>
      <c r="T448" s="2363"/>
      <c r="U448" s="2363"/>
      <c r="V448" s="2363"/>
      <c r="W448" s="2363"/>
      <c r="X448" s="2363"/>
      <c r="Y448" s="2363"/>
      <c r="Z448" s="2363"/>
      <c r="AA448" s="2363"/>
      <c r="AB448" s="2363"/>
      <c r="AC448" s="2363"/>
      <c r="AD448" s="2363"/>
      <c r="AE448" s="2363"/>
      <c r="AL448" s="565"/>
      <c r="AM448" s="416"/>
      <c r="AN448" s="439"/>
    </row>
    <row r="449" spans="1:40" s="398" customFormat="1" ht="12.75" customHeight="1">
      <c r="A449" s="385"/>
      <c r="B449" s="11"/>
      <c r="C449" s="2372" t="s">
        <v>800</v>
      </c>
      <c r="D449" s="2373"/>
      <c r="E449" s="554"/>
      <c r="F449" s="555" t="s">
        <v>2379</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452" t="s">
        <v>2351</v>
      </c>
      <c r="AG449" s="2452"/>
      <c r="AH449" s="2452"/>
      <c r="AI449" s="2452"/>
      <c r="AJ449" s="2452"/>
      <c r="AK449" s="2452"/>
      <c r="AL449" s="2461"/>
      <c r="AM449" s="416"/>
      <c r="AN449" s="584"/>
    </row>
    <row r="450" spans="1:40" s="398" customFormat="1" ht="12.75" customHeight="1">
      <c r="A450" s="385"/>
      <c r="B450" s="11"/>
      <c r="C450" s="1143"/>
      <c r="D450" s="1144"/>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129"/>
      <c r="AL450" s="565"/>
      <c r="AM450" s="416"/>
      <c r="AN450" s="584"/>
    </row>
    <row r="451" spans="1:40" s="398" customFormat="1" ht="12.75" customHeight="1">
      <c r="A451" s="385"/>
      <c r="B451" s="11"/>
      <c r="C451" s="573"/>
      <c r="D451" s="566"/>
      <c r="E451" s="567"/>
      <c r="F451" s="561" t="s">
        <v>2358</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144"/>
      <c r="D452" s="1144"/>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129"/>
      <c r="AM452" s="416"/>
      <c r="AN452" s="584"/>
    </row>
    <row r="453" spans="1:40" s="398" customFormat="1" ht="12.75" customHeight="1">
      <c r="A453" s="385"/>
      <c r="B453" s="11"/>
      <c r="C453" s="2488" t="s">
        <v>800</v>
      </c>
      <c r="D453" s="2489"/>
      <c r="E453" s="550" t="s">
        <v>2380</v>
      </c>
      <c r="F453" s="2362" t="s">
        <v>2381</v>
      </c>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c r="AA453" s="2362"/>
      <c r="AB453" s="2362"/>
      <c r="AC453" s="2362"/>
      <c r="AD453" s="2362"/>
      <c r="AE453" s="2362"/>
      <c r="AF453" s="2390" t="s">
        <v>2351</v>
      </c>
      <c r="AG453" s="2390"/>
      <c r="AH453" s="2390"/>
      <c r="AI453" s="2390"/>
      <c r="AJ453" s="2390"/>
      <c r="AK453" s="2390"/>
      <c r="AL453" s="2391"/>
      <c r="AM453" s="416"/>
      <c r="AN453" s="584"/>
    </row>
    <row r="454" spans="1:40" s="398" customFormat="1" ht="12.75" customHeight="1">
      <c r="A454" s="385"/>
      <c r="B454" s="11"/>
      <c r="C454" s="1143"/>
      <c r="D454" s="1144"/>
      <c r="E454" s="554"/>
      <c r="F454" s="2363"/>
      <c r="G454" s="2363"/>
      <c r="H454" s="2363"/>
      <c r="I454" s="2363"/>
      <c r="J454" s="2363"/>
      <c r="K454" s="2363"/>
      <c r="L454" s="2363"/>
      <c r="M454" s="2363"/>
      <c r="N454" s="2363"/>
      <c r="O454" s="2363"/>
      <c r="P454" s="2363"/>
      <c r="Q454" s="2363"/>
      <c r="R454" s="2363"/>
      <c r="S454" s="2363"/>
      <c r="T454" s="2363"/>
      <c r="U454" s="2363"/>
      <c r="V454" s="2363"/>
      <c r="W454" s="2363"/>
      <c r="X454" s="2363"/>
      <c r="Y454" s="2363"/>
      <c r="Z454" s="2363"/>
      <c r="AA454" s="2363"/>
      <c r="AB454" s="2363"/>
      <c r="AC454" s="2363"/>
      <c r="AD454" s="2363"/>
      <c r="AE454" s="2363"/>
      <c r="AF454" s="1129"/>
      <c r="AG454" s="1129"/>
      <c r="AH454" s="1129"/>
      <c r="AI454" s="1129"/>
      <c r="AJ454" s="1129"/>
      <c r="AK454" s="1129"/>
      <c r="AL454" s="1130"/>
      <c r="AM454" s="416"/>
      <c r="AN454" s="585"/>
    </row>
    <row r="455" spans="1:40" s="398" customFormat="1" ht="17.899999999999999" customHeight="1">
      <c r="A455" s="385"/>
      <c r="B455" s="11"/>
      <c r="C455" s="587"/>
      <c r="D455" s="557"/>
      <c r="E455" s="558"/>
      <c r="F455" s="2364"/>
      <c r="G455" s="2364"/>
      <c r="H455" s="2364"/>
      <c r="I455" s="2364"/>
      <c r="J455" s="2364"/>
      <c r="K455" s="2364"/>
      <c r="L455" s="2364"/>
      <c r="M455" s="2364"/>
      <c r="N455" s="2364"/>
      <c r="O455" s="2364"/>
      <c r="P455" s="2364"/>
      <c r="Q455" s="2364"/>
      <c r="R455" s="2364"/>
      <c r="S455" s="2364"/>
      <c r="T455" s="2364"/>
      <c r="U455" s="2364"/>
      <c r="V455" s="2364"/>
      <c r="W455" s="2364"/>
      <c r="X455" s="2364"/>
      <c r="Y455" s="2364"/>
      <c r="Z455" s="2364"/>
      <c r="AA455" s="2364"/>
      <c r="AB455" s="2364"/>
      <c r="AC455" s="2364"/>
      <c r="AD455" s="2364"/>
      <c r="AE455" s="2364"/>
      <c r="AF455" s="562"/>
      <c r="AG455" s="562"/>
      <c r="AH455" s="562"/>
      <c r="AI455" s="562"/>
      <c r="AJ455" s="562"/>
      <c r="AK455" s="562"/>
      <c r="AL455" s="588"/>
      <c r="AM455" s="416"/>
      <c r="AN455" s="384"/>
    </row>
    <row r="456" spans="1:40" s="398" customFormat="1" ht="12.75" customHeight="1">
      <c r="A456" s="385"/>
      <c r="B456" s="11"/>
      <c r="C456" s="1144"/>
      <c r="D456" s="1144"/>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129"/>
      <c r="AM456" s="416"/>
      <c r="AN456" s="384"/>
    </row>
    <row r="457" spans="1:40" s="398" customFormat="1" ht="12.75" customHeight="1">
      <c r="A457" s="385"/>
      <c r="B457" s="11"/>
      <c r="C457" s="2372" t="s">
        <v>800</v>
      </c>
      <c r="D457" s="2373"/>
      <c r="E457" s="550" t="s">
        <v>2382</v>
      </c>
      <c r="F457" s="2362" t="s">
        <v>2383</v>
      </c>
      <c r="G457" s="2362"/>
      <c r="H457" s="2362"/>
      <c r="I457" s="2362"/>
      <c r="J457" s="2362"/>
      <c r="K457" s="2362"/>
      <c r="L457" s="2362"/>
      <c r="M457" s="2362"/>
      <c r="N457" s="2362"/>
      <c r="O457" s="2362"/>
      <c r="P457" s="2362"/>
      <c r="Q457" s="2362"/>
      <c r="R457" s="2362"/>
      <c r="S457" s="2362"/>
      <c r="T457" s="2362"/>
      <c r="U457" s="2362"/>
      <c r="V457" s="2362"/>
      <c r="W457" s="2362"/>
      <c r="X457" s="2362"/>
      <c r="Y457" s="2362"/>
      <c r="Z457" s="2362"/>
      <c r="AA457" s="2362"/>
      <c r="AB457" s="2362"/>
      <c r="AC457" s="2362"/>
      <c r="AD457" s="2362"/>
      <c r="AE457" s="2362"/>
      <c r="AF457" s="2390" t="s">
        <v>2351</v>
      </c>
      <c r="AG457" s="2390"/>
      <c r="AH457" s="2390"/>
      <c r="AI457" s="2390"/>
      <c r="AJ457" s="2390"/>
      <c r="AK457" s="2390"/>
      <c r="AL457" s="2391"/>
      <c r="AM457" s="416"/>
      <c r="AN457" s="384"/>
    </row>
    <row r="458" spans="1:40" s="398" customFormat="1" ht="12.75" customHeight="1">
      <c r="A458" s="385"/>
      <c r="B458" s="11"/>
      <c r="C458" s="564"/>
      <c r="D458" s="11"/>
      <c r="E458" s="527"/>
      <c r="F458" s="2363"/>
      <c r="G458" s="2363"/>
      <c r="H458" s="2363"/>
      <c r="I458" s="2363"/>
      <c r="J458" s="2363"/>
      <c r="K458" s="2363"/>
      <c r="L458" s="2363"/>
      <c r="M458" s="2363"/>
      <c r="N458" s="2363"/>
      <c r="O458" s="2363"/>
      <c r="P458" s="2363"/>
      <c r="Q458" s="2363"/>
      <c r="R458" s="2363"/>
      <c r="S458" s="2363"/>
      <c r="T458" s="2363"/>
      <c r="U458" s="2363"/>
      <c r="V458" s="2363"/>
      <c r="W458" s="2363"/>
      <c r="X458" s="2363"/>
      <c r="Y458" s="2363"/>
      <c r="Z458" s="2363"/>
      <c r="AA458" s="2363"/>
      <c r="AB458" s="2363"/>
      <c r="AC458" s="2363"/>
      <c r="AD458" s="2363"/>
      <c r="AE458" s="2363"/>
      <c r="AF458" s="388"/>
      <c r="AG458" s="385"/>
      <c r="AL458" s="565"/>
      <c r="AM458" s="416"/>
      <c r="AN458" s="384"/>
    </row>
    <row r="459" spans="1:40" s="398" customFormat="1" ht="12.75" customHeight="1">
      <c r="A459" s="385"/>
      <c r="B459" s="11"/>
      <c r="C459" s="564"/>
      <c r="D459" s="11"/>
      <c r="E459" s="527"/>
      <c r="F459" s="2363"/>
      <c r="G459" s="2363"/>
      <c r="H459" s="2363"/>
      <c r="I459" s="2363"/>
      <c r="J459" s="2363"/>
      <c r="K459" s="2363"/>
      <c r="L459" s="2363"/>
      <c r="M459" s="2363"/>
      <c r="N459" s="2363"/>
      <c r="O459" s="2363"/>
      <c r="P459" s="2363"/>
      <c r="Q459" s="2363"/>
      <c r="R459" s="2363"/>
      <c r="S459" s="2363"/>
      <c r="T459" s="2363"/>
      <c r="U459" s="2363"/>
      <c r="V459" s="2363"/>
      <c r="W459" s="2363"/>
      <c r="X459" s="2363"/>
      <c r="Y459" s="2363"/>
      <c r="Z459" s="2363"/>
      <c r="AA459" s="2363"/>
      <c r="AB459" s="2363"/>
      <c r="AC459" s="2363"/>
      <c r="AD459" s="2363"/>
      <c r="AE459" s="2363"/>
      <c r="AF459" s="388"/>
      <c r="AG459" s="385"/>
      <c r="AL459" s="565"/>
      <c r="AM459" s="416"/>
      <c r="AN459" s="384"/>
    </row>
    <row r="460" spans="1:40" s="398" customFormat="1" ht="12.75" customHeight="1">
      <c r="A460" s="385"/>
      <c r="B460" s="11"/>
      <c r="C460" s="587"/>
      <c r="D460" s="557"/>
      <c r="E460" s="558"/>
      <c r="F460" s="2364"/>
      <c r="G460" s="2364"/>
      <c r="H460" s="2364"/>
      <c r="I460" s="2364"/>
      <c r="J460" s="2364"/>
      <c r="K460" s="2364"/>
      <c r="L460" s="2364"/>
      <c r="M460" s="2364"/>
      <c r="N460" s="2364"/>
      <c r="O460" s="2364"/>
      <c r="P460" s="2364"/>
      <c r="Q460" s="2364"/>
      <c r="R460" s="2364"/>
      <c r="S460" s="2364"/>
      <c r="T460" s="2364"/>
      <c r="U460" s="2364"/>
      <c r="V460" s="2364"/>
      <c r="W460" s="2364"/>
      <c r="X460" s="2364"/>
      <c r="Y460" s="2364"/>
      <c r="Z460" s="2364"/>
      <c r="AA460" s="2364"/>
      <c r="AB460" s="2364"/>
      <c r="AC460" s="2364"/>
      <c r="AD460" s="2364"/>
      <c r="AE460" s="2364"/>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2384</v>
      </c>
      <c r="F462" s="2362" t="s">
        <v>2385</v>
      </c>
      <c r="G462" s="2362"/>
      <c r="H462" s="2362"/>
      <c r="I462" s="2362"/>
      <c r="J462" s="2362"/>
      <c r="K462" s="2362"/>
      <c r="L462" s="2362"/>
      <c r="M462" s="2362"/>
      <c r="N462" s="2362"/>
      <c r="O462" s="2362"/>
      <c r="P462" s="2362"/>
      <c r="Q462" s="2362"/>
      <c r="R462" s="2362"/>
      <c r="S462" s="2362"/>
      <c r="T462" s="2362"/>
      <c r="U462" s="2362"/>
      <c r="V462" s="2362"/>
      <c r="W462" s="2362"/>
      <c r="X462" s="2362"/>
      <c r="Y462" s="2362"/>
      <c r="Z462" s="2362"/>
      <c r="AA462" s="2362"/>
      <c r="AB462" s="2362"/>
      <c r="AC462" s="2362"/>
      <c r="AD462" s="2362"/>
      <c r="AE462" s="2362"/>
      <c r="AF462" s="2362"/>
      <c r="AG462" s="577"/>
      <c r="AH462" s="549"/>
      <c r="AI462" s="549"/>
      <c r="AJ462" s="549"/>
      <c r="AK462" s="549"/>
      <c r="AL462" s="578"/>
      <c r="AM462" s="416"/>
      <c r="AN462" s="439"/>
    </row>
    <row r="463" spans="1:40" s="398" customFormat="1" ht="12.75" customHeight="1">
      <c r="A463" s="385"/>
      <c r="B463" s="11"/>
      <c r="C463" s="564"/>
      <c r="D463" s="11"/>
      <c r="E463" s="527"/>
      <c r="F463" s="2363"/>
      <c r="G463" s="2363"/>
      <c r="H463" s="2363"/>
      <c r="I463" s="2363"/>
      <c r="J463" s="2363"/>
      <c r="K463" s="2363"/>
      <c r="L463" s="2363"/>
      <c r="M463" s="2363"/>
      <c r="N463" s="2363"/>
      <c r="O463" s="2363"/>
      <c r="P463" s="2363"/>
      <c r="Q463" s="2363"/>
      <c r="R463" s="2363"/>
      <c r="S463" s="2363"/>
      <c r="T463" s="2363"/>
      <c r="U463" s="2363"/>
      <c r="V463" s="2363"/>
      <c r="W463" s="2363"/>
      <c r="X463" s="2363"/>
      <c r="Y463" s="2363"/>
      <c r="Z463" s="2363"/>
      <c r="AA463" s="2363"/>
      <c r="AB463" s="2363"/>
      <c r="AC463" s="2363"/>
      <c r="AD463" s="2363"/>
      <c r="AE463" s="2363"/>
      <c r="AF463" s="2363"/>
      <c r="AL463" s="565"/>
      <c r="AM463" s="416"/>
      <c r="AN463" s="439"/>
    </row>
    <row r="464" spans="1:40" s="398" customFormat="1" ht="12.75" customHeight="1">
      <c r="A464" s="385"/>
      <c r="B464" s="11"/>
      <c r="C464" s="572"/>
      <c r="F464" s="2363"/>
      <c r="G464" s="2363"/>
      <c r="H464" s="2363"/>
      <c r="I464" s="2363"/>
      <c r="J464" s="2363"/>
      <c r="K464" s="2363"/>
      <c r="L464" s="2363"/>
      <c r="M464" s="2363"/>
      <c r="N464" s="2363"/>
      <c r="O464" s="2363"/>
      <c r="P464" s="2363"/>
      <c r="Q464" s="2363"/>
      <c r="R464" s="2363"/>
      <c r="S464" s="2363"/>
      <c r="T464" s="2363"/>
      <c r="U464" s="2363"/>
      <c r="V464" s="2363"/>
      <c r="W464" s="2363"/>
      <c r="X464" s="2363"/>
      <c r="Y464" s="2363"/>
      <c r="Z464" s="2363"/>
      <c r="AA464" s="2363"/>
      <c r="AB464" s="2363"/>
      <c r="AC464" s="2363"/>
      <c r="AD464" s="2363"/>
      <c r="AE464" s="2363"/>
      <c r="AF464" s="2363"/>
      <c r="AL464" s="565"/>
      <c r="AM464" s="416"/>
      <c r="AN464" s="439"/>
    </row>
    <row r="465" spans="1:58" s="398" customFormat="1" ht="12.75" customHeight="1">
      <c r="A465" s="385"/>
      <c r="B465" s="11"/>
      <c r="C465" s="572"/>
      <c r="F465" s="2363"/>
      <c r="G465" s="2363"/>
      <c r="H465" s="2363"/>
      <c r="I465" s="2363"/>
      <c r="J465" s="2363"/>
      <c r="K465" s="2363"/>
      <c r="L465" s="2363"/>
      <c r="M465" s="2363"/>
      <c r="N465" s="2363"/>
      <c r="O465" s="2363"/>
      <c r="P465" s="2363"/>
      <c r="Q465" s="2363"/>
      <c r="R465" s="2363"/>
      <c r="S465" s="2363"/>
      <c r="T465" s="2363"/>
      <c r="U465" s="2363"/>
      <c r="V465" s="2363"/>
      <c r="W465" s="2363"/>
      <c r="X465" s="2363"/>
      <c r="Y465" s="2363"/>
      <c r="Z465" s="2363"/>
      <c r="AA465" s="2363"/>
      <c r="AB465" s="2363"/>
      <c r="AC465" s="2363"/>
      <c r="AD465" s="2363"/>
      <c r="AE465" s="2363"/>
      <c r="AF465" s="2363"/>
      <c r="AL465" s="565"/>
      <c r="AM465" s="416"/>
      <c r="AN465" s="439"/>
    </row>
    <row r="466" spans="1:58" s="398" customFormat="1" ht="12.75" customHeight="1">
      <c r="A466" s="385"/>
      <c r="B466" s="11"/>
      <c r="C466" s="2372" t="s">
        <v>800</v>
      </c>
      <c r="D466" s="2373"/>
      <c r="E466" s="554"/>
      <c r="F466" s="555" t="s">
        <v>2368</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374" t="s">
        <v>2351</v>
      </c>
      <c r="AG466" s="2374"/>
      <c r="AH466" s="2374"/>
      <c r="AI466" s="2374"/>
      <c r="AJ466" s="2374"/>
      <c r="AK466" s="2374"/>
      <c r="AL466" s="2375"/>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1"/>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2386</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2387</v>
      </c>
      <c r="AK469" s="2359">
        <f>IF(Application!D214="N/A",AS358,AS360)</f>
        <v>10</v>
      </c>
      <c r="AL469" s="2360"/>
      <c r="AM469" s="2361"/>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132"/>
      <c r="J471" s="1132"/>
      <c r="K471" s="1132"/>
      <c r="L471" s="1132"/>
      <c r="M471" s="1132"/>
      <c r="N471" s="1132"/>
      <c r="O471" s="1132"/>
      <c r="P471" s="1132"/>
      <c r="Q471" s="1132"/>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800</v>
      </c>
      <c r="AP471" s="398">
        <v>0</v>
      </c>
      <c r="AT471" s="398" t="s">
        <v>800</v>
      </c>
      <c r="AU471" s="398">
        <v>0</v>
      </c>
      <c r="AV471" s="583"/>
    </row>
    <row r="472" spans="1:58" s="398" customFormat="1" ht="12.75" hidden="1" customHeight="1">
      <c r="A472" s="388" t="s">
        <v>2388</v>
      </c>
      <c r="C472" s="388"/>
      <c r="E472" s="438"/>
      <c r="AE472" s="2374" t="s">
        <v>2389</v>
      </c>
      <c r="AF472" s="2374"/>
      <c r="AG472" s="2374"/>
      <c r="AH472" s="2374"/>
      <c r="AI472" s="2374"/>
      <c r="AJ472" s="2374"/>
      <c r="AK472" s="2374"/>
      <c r="AL472" s="1129"/>
      <c r="AN472" s="439"/>
      <c r="AO472" s="398" t="s">
        <v>2390</v>
      </c>
      <c r="AP472" s="398">
        <v>5</v>
      </c>
      <c r="AT472" s="398" t="s">
        <v>2390</v>
      </c>
      <c r="AU472" s="398">
        <v>5</v>
      </c>
      <c r="AV472" s="583"/>
    </row>
    <row r="473" spans="1:58" s="398" customFormat="1" ht="12.75" hidden="1" customHeight="1">
      <c r="A473" s="388"/>
      <c r="B473" s="385" t="s">
        <v>2391</v>
      </c>
      <c r="C473" s="388"/>
      <c r="E473" s="438"/>
      <c r="AE473" s="1129"/>
      <c r="AF473" s="1129"/>
      <c r="AG473" s="1129"/>
      <c r="AH473" s="1129"/>
      <c r="AI473" s="1129"/>
      <c r="AJ473" s="1129"/>
      <c r="AK473" s="1129"/>
      <c r="AL473" s="1129"/>
      <c r="AN473" s="439"/>
      <c r="AO473" s="398" t="s">
        <v>2392</v>
      </c>
      <c r="AP473" s="398">
        <v>5</v>
      </c>
      <c r="AT473" s="398" t="s">
        <v>2393</v>
      </c>
      <c r="AU473" s="398">
        <v>5</v>
      </c>
      <c r="AV473" s="583"/>
    </row>
    <row r="474" spans="1:58" s="398" customFormat="1" ht="12.75" hidden="1" customHeight="1">
      <c r="A474" s="388"/>
      <c r="B474" s="388" t="s">
        <v>2394</v>
      </c>
      <c r="C474" s="388"/>
      <c r="E474" s="438"/>
      <c r="AE474" s="1129"/>
      <c r="AF474" s="1129"/>
      <c r="AG474" s="1129"/>
      <c r="AH474" s="1129"/>
      <c r="AI474" s="1129"/>
      <c r="AJ474" s="1129"/>
      <c r="AK474" s="1129"/>
      <c r="AL474" s="1129"/>
      <c r="AN474" s="439"/>
      <c r="AO474" s="398" t="s">
        <v>2395</v>
      </c>
      <c r="AP474" s="398">
        <v>5</v>
      </c>
      <c r="AQ474" s="388"/>
      <c r="AR474" s="388"/>
      <c r="AS474" s="586"/>
      <c r="AT474" s="398" t="s">
        <v>2395</v>
      </c>
      <c r="AU474" s="398">
        <v>5</v>
      </c>
      <c r="AV474" s="385"/>
    </row>
    <row r="475" spans="1:58" s="398" customFormat="1" ht="12.75" hidden="1" customHeight="1">
      <c r="A475" s="388"/>
      <c r="B475" s="388" t="s">
        <v>2396</v>
      </c>
      <c r="C475" s="388"/>
      <c r="E475" s="438"/>
      <c r="AE475" s="1129"/>
      <c r="AF475" s="1129"/>
      <c r="AG475" s="1129"/>
      <c r="AH475" s="1129"/>
      <c r="AI475" s="1129"/>
      <c r="AJ475" s="1129"/>
      <c r="AK475" s="1129"/>
      <c r="AL475" s="1129"/>
      <c r="AN475" s="439"/>
      <c r="AO475" s="398" t="s">
        <v>2397</v>
      </c>
      <c r="AP475" s="398">
        <v>5</v>
      </c>
      <c r="AQ475" s="388"/>
      <c r="AR475" s="388"/>
      <c r="AT475" s="398" t="s">
        <v>2397</v>
      </c>
      <c r="AU475" s="398">
        <v>5</v>
      </c>
    </row>
    <row r="476" spans="1:58" s="398" customFormat="1" ht="12.75" hidden="1" customHeight="1">
      <c r="A476" s="388"/>
      <c r="C476" s="388"/>
      <c r="E476" s="438"/>
      <c r="AE476" s="1129"/>
      <c r="AF476" s="1129"/>
      <c r="AG476" s="1129"/>
      <c r="AH476" s="1129"/>
      <c r="AI476" s="1129"/>
      <c r="AJ476" s="1129"/>
      <c r="AK476" s="1129"/>
      <c r="AL476" s="1129"/>
      <c r="AN476" s="439"/>
      <c r="AO476" s="398" t="s">
        <v>2398</v>
      </c>
      <c r="AP476" s="398">
        <v>5</v>
      </c>
      <c r="AQ476" s="388"/>
      <c r="AR476" s="388"/>
      <c r="AT476" s="398" t="s">
        <v>2398</v>
      </c>
      <c r="AU476" s="398">
        <v>5</v>
      </c>
    </row>
    <row r="477" spans="1:58" s="398" customFormat="1" ht="12.75" hidden="1" customHeight="1">
      <c r="A477" s="388"/>
      <c r="C477" s="547" t="s">
        <v>2399</v>
      </c>
      <c r="D477" s="416"/>
      <c r="AE477" s="1129"/>
      <c r="AF477" s="1129"/>
      <c r="AG477" s="438"/>
      <c r="AH477" s="438"/>
      <c r="AI477" s="438"/>
      <c r="AJ477" s="438"/>
      <c r="AK477" s="438"/>
      <c r="AL477" s="438"/>
      <c r="AN477" s="439"/>
      <c r="AO477" s="398" t="s">
        <v>2400</v>
      </c>
      <c r="AP477" s="398">
        <v>5</v>
      </c>
      <c r="AT477" s="398" t="s">
        <v>2400</v>
      </c>
      <c r="AU477" s="398">
        <v>5</v>
      </c>
    </row>
    <row r="478" spans="1:58" s="398" customFormat="1" ht="12.75" hidden="1" customHeight="1">
      <c r="A478" s="388"/>
      <c r="C478" s="2381" t="s">
        <v>800</v>
      </c>
      <c r="D478" s="2382"/>
      <c r="E478" s="592" t="s">
        <v>51</v>
      </c>
      <c r="F478" s="2459" t="s">
        <v>2401</v>
      </c>
      <c r="G478" s="2459"/>
      <c r="H478" s="2459"/>
      <c r="I478" s="2459"/>
      <c r="J478" s="2459"/>
      <c r="K478" s="2459"/>
      <c r="L478" s="2459"/>
      <c r="M478" s="2459"/>
      <c r="N478" s="2459"/>
      <c r="O478" s="2459"/>
      <c r="P478" s="2459"/>
      <c r="Q478" s="2459"/>
      <c r="R478" s="2459"/>
      <c r="S478" s="2459"/>
      <c r="T478" s="2459"/>
      <c r="U478" s="2459"/>
      <c r="V478" s="2459"/>
      <c r="W478" s="2459"/>
      <c r="X478" s="2459"/>
      <c r="Y478" s="2459"/>
      <c r="Z478" s="2459"/>
      <c r="AA478" s="2459"/>
      <c r="AB478" s="2459"/>
      <c r="AC478" s="2459"/>
      <c r="AD478" s="2459"/>
      <c r="AE478" s="2459"/>
      <c r="AF478" s="549"/>
      <c r="AG478" s="549"/>
      <c r="AH478" s="549"/>
      <c r="AI478" s="549"/>
      <c r="AJ478" s="549"/>
      <c r="AK478" s="578"/>
      <c r="AN478" s="439"/>
      <c r="AO478" s="398" t="s">
        <v>2402</v>
      </c>
      <c r="AP478" s="398">
        <v>5</v>
      </c>
      <c r="AS478" s="589"/>
      <c r="AT478" s="398" t="s">
        <v>2403</v>
      </c>
      <c r="AU478" s="398">
        <v>5</v>
      </c>
    </row>
    <row r="479" spans="1:58" s="398" customFormat="1" ht="12.75" hidden="1" customHeight="1">
      <c r="C479" s="593"/>
      <c r="E479" s="594"/>
      <c r="F479" s="2460"/>
      <c r="G479" s="2460"/>
      <c r="H479" s="2460"/>
      <c r="I479" s="2460"/>
      <c r="J479" s="2460"/>
      <c r="K479" s="2460"/>
      <c r="L479" s="2460"/>
      <c r="M479" s="2460"/>
      <c r="N479" s="2460"/>
      <c r="O479" s="2460"/>
      <c r="P479" s="2460"/>
      <c r="Q479" s="2460"/>
      <c r="R479" s="2460"/>
      <c r="S479" s="2460"/>
      <c r="T479" s="2460"/>
      <c r="U479" s="2460"/>
      <c r="V479" s="2460"/>
      <c r="W479" s="2460"/>
      <c r="X479" s="2460"/>
      <c r="Y479" s="2460"/>
      <c r="Z479" s="2460"/>
      <c r="AA479" s="2460"/>
      <c r="AB479" s="2460"/>
      <c r="AC479" s="2460"/>
      <c r="AD479" s="2460"/>
      <c r="AE479" s="2460"/>
      <c r="AG479" s="399"/>
      <c r="AH479" s="399"/>
      <c r="AI479" s="399"/>
      <c r="AJ479" s="399"/>
      <c r="AK479" s="565"/>
      <c r="AN479" s="439"/>
      <c r="AO479" s="398" t="s">
        <v>2404</v>
      </c>
      <c r="AP479" s="398">
        <v>1</v>
      </c>
      <c r="AT479" s="398" t="s">
        <v>2404</v>
      </c>
      <c r="AU479" s="398">
        <v>1</v>
      </c>
    </row>
    <row r="480" spans="1:58" s="398" customFormat="1" ht="12.75" hidden="1" customHeight="1">
      <c r="C480" s="595"/>
      <c r="D480" s="561"/>
      <c r="E480" s="596"/>
      <c r="F480" s="2387" t="s">
        <v>800</v>
      </c>
      <c r="G480" s="2387"/>
      <c r="H480" s="2387"/>
      <c r="I480" s="2387"/>
      <c r="J480" s="2387"/>
      <c r="K480" s="2387"/>
      <c r="L480" s="2387"/>
      <c r="M480" s="2387"/>
      <c r="N480" s="2387"/>
      <c r="O480" s="2387"/>
      <c r="P480" s="2387"/>
      <c r="Q480" s="2387"/>
      <c r="R480" s="2387"/>
      <c r="S480" s="2387"/>
      <c r="T480" s="2387"/>
      <c r="U480" s="2387"/>
      <c r="V480" s="2387"/>
      <c r="W480" s="2387"/>
      <c r="X480" s="2387"/>
      <c r="Y480" s="2387"/>
      <c r="Z480" s="2387"/>
      <c r="AA480" s="597"/>
      <c r="AB480" s="495"/>
      <c r="AC480" s="495"/>
      <c r="AD480" s="561"/>
      <c r="AE480" s="561"/>
      <c r="AF480" s="561"/>
      <c r="AG480" s="598">
        <f>IF($C$478="Yes",(VLOOKUP($F$480,$AT$471:$AU$479,2,FALSE)),0)</f>
        <v>0</v>
      </c>
      <c r="AH480" s="599" t="s">
        <v>2185</v>
      </c>
      <c r="AI480" s="598"/>
      <c r="AJ480" s="598"/>
      <c r="AK480" s="575"/>
      <c r="AN480" s="439"/>
      <c r="AS480" s="586"/>
      <c r="AX480" s="586"/>
      <c r="BB480" s="586" t="s">
        <v>2405</v>
      </c>
      <c r="BF480" s="586" t="s">
        <v>2406</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800</v>
      </c>
      <c r="AP481" s="477">
        <v>0</v>
      </c>
      <c r="AT481" s="398" t="s">
        <v>800</v>
      </c>
      <c r="AU481" s="477">
        <v>0</v>
      </c>
      <c r="AW481" s="398" t="s">
        <v>800</v>
      </c>
      <c r="AX481" s="477">
        <v>0</v>
      </c>
      <c r="AY481" s="436"/>
      <c r="BB481" s="398" t="s">
        <v>800</v>
      </c>
      <c r="BC481" s="436">
        <v>0</v>
      </c>
      <c r="BF481" s="398" t="s">
        <v>800</v>
      </c>
      <c r="BG481" s="436">
        <v>0</v>
      </c>
    </row>
    <row r="482" spans="1:81" s="398" customFormat="1" ht="12.75" hidden="1" customHeight="1">
      <c r="C482" s="2388" t="s">
        <v>847</v>
      </c>
      <c r="D482" s="2389"/>
      <c r="E482" s="592" t="s">
        <v>53</v>
      </c>
      <c r="F482" s="600" t="s">
        <v>2407</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2408</v>
      </c>
      <c r="AX482" s="477">
        <v>3</v>
      </c>
      <c r="AY482" s="436"/>
      <c r="BB482" s="589">
        <v>0.4</v>
      </c>
      <c r="BC482" s="436">
        <v>3</v>
      </c>
      <c r="BF482" s="589">
        <v>0.4</v>
      </c>
      <c r="BG482" s="436">
        <v>4</v>
      </c>
    </row>
    <row r="483" spans="1:81" s="398" customFormat="1" ht="12.75" hidden="1" customHeight="1">
      <c r="C483" s="601" t="s">
        <v>2409</v>
      </c>
      <c r="F483" s="602" t="s">
        <v>2410</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129"/>
      <c r="AG483" s="454"/>
      <c r="AH483" s="454"/>
      <c r="AI483" s="454"/>
      <c r="AJ483" s="454"/>
      <c r="AK483" s="565"/>
      <c r="AN483" s="439"/>
      <c r="AO483" s="589">
        <v>0.2</v>
      </c>
      <c r="AP483" s="477">
        <v>5</v>
      </c>
      <c r="AT483" s="589">
        <v>0.12</v>
      </c>
      <c r="AU483" s="477">
        <v>5</v>
      </c>
      <c r="AW483" s="398" t="s">
        <v>2411</v>
      </c>
      <c r="AX483" s="477">
        <v>5</v>
      </c>
      <c r="AY483" s="436"/>
      <c r="BB483" s="589">
        <v>0.6</v>
      </c>
      <c r="BC483" s="436">
        <v>4</v>
      </c>
      <c r="BF483" s="589">
        <v>0.6</v>
      </c>
      <c r="BG483" s="436">
        <v>5</v>
      </c>
    </row>
    <row r="484" spans="1:81" s="398" customFormat="1" ht="12.75" hidden="1" customHeight="1">
      <c r="C484" s="1143"/>
      <c r="D484" s="1144"/>
      <c r="E484" s="603"/>
      <c r="F484" s="602" t="s">
        <v>2412</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2413</v>
      </c>
      <c r="G485" s="398"/>
      <c r="H485" s="398"/>
      <c r="I485" s="602"/>
      <c r="J485" s="602"/>
      <c r="K485" s="602"/>
      <c r="L485" s="602"/>
      <c r="M485" s="602"/>
      <c r="N485" s="602"/>
      <c r="O485" s="602"/>
      <c r="P485" s="602"/>
      <c r="Q485" s="602"/>
      <c r="R485" s="602"/>
      <c r="S485" s="602"/>
      <c r="T485" s="602"/>
      <c r="U485" s="602"/>
      <c r="V485" s="2367" t="s">
        <v>800</v>
      </c>
      <c r="W485" s="2367"/>
      <c r="X485" s="2367"/>
      <c r="Y485" s="602"/>
      <c r="Z485" s="602"/>
      <c r="AA485" s="602"/>
      <c r="AB485" s="602"/>
      <c r="AC485" s="602"/>
      <c r="AD485" s="450"/>
      <c r="AE485" s="450"/>
      <c r="AF485" s="450"/>
      <c r="AG485" s="454">
        <f>IF(AND($C$482="Yes",$V$487="N/A",$V$492="N/A",$V$496="N/A",$V$498="N/A"),(VLOOKUP(V485,$AW$481:$AX$483,2,FALSE)),0)</f>
        <v>0</v>
      </c>
      <c r="AH485" s="1122" t="s">
        <v>2185</v>
      </c>
      <c r="AI485" s="399"/>
      <c r="AJ485" s="399"/>
      <c r="AK485" s="565"/>
      <c r="AL485" s="398"/>
      <c r="AM485" s="398"/>
      <c r="AN485" s="439"/>
      <c r="AT485" s="398" t="s">
        <v>800</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122"/>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2414</v>
      </c>
      <c r="G487" s="398"/>
      <c r="H487" s="398"/>
      <c r="I487" s="602"/>
      <c r="J487" s="602"/>
      <c r="K487" s="602"/>
      <c r="L487" s="602"/>
      <c r="M487" s="602"/>
      <c r="N487" s="602"/>
      <c r="O487" s="602"/>
      <c r="P487" s="602"/>
      <c r="Q487" s="602"/>
      <c r="R487" s="602"/>
      <c r="S487" s="602"/>
      <c r="T487" s="602"/>
      <c r="U487" s="602"/>
      <c r="V487" s="2367" t="s">
        <v>800</v>
      </c>
      <c r="W487" s="2367"/>
      <c r="X487" s="2367"/>
      <c r="Y487" s="602"/>
      <c r="Z487" s="602"/>
      <c r="AA487" s="602"/>
      <c r="AB487" s="602"/>
      <c r="AC487" s="602"/>
      <c r="AD487" s="450"/>
      <c r="AE487" s="450"/>
      <c r="AF487" s="450"/>
      <c r="AG487" s="454">
        <f>IF(AND($C$482="Yes",$V$485="N/A", $V$492="N/A",$V$496="N/A",$V$498="N/A"),(VLOOKUP(V487,$AT$481:$AU$483,2,FALSE)),0)</f>
        <v>0</v>
      </c>
      <c r="AH487" s="1122" t="s">
        <v>2185</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800</v>
      </c>
      <c r="AP488" s="398">
        <v>0</v>
      </c>
    </row>
    <row r="489" spans="1:81" s="398" customFormat="1" ht="12.75" hidden="1" customHeight="1">
      <c r="C489" s="593"/>
      <c r="E489" s="594"/>
      <c r="F489" s="607" t="s">
        <v>2415</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2416</v>
      </c>
      <c r="AP489" s="477">
        <v>2</v>
      </c>
    </row>
    <row r="490" spans="1:81" s="398" customFormat="1" ht="12.75" hidden="1" customHeight="1">
      <c r="C490" s="593"/>
      <c r="F490" s="450" t="s">
        <v>2417</v>
      </c>
      <c r="M490" s="594"/>
      <c r="N490" s="594"/>
      <c r="O490" s="594"/>
      <c r="P490" s="594"/>
      <c r="Q490" s="399"/>
      <c r="R490" s="399"/>
      <c r="S490" s="399"/>
      <c r="T490" s="399"/>
      <c r="U490" s="399"/>
      <c r="V490" s="399"/>
      <c r="W490" s="399"/>
      <c r="X490" s="399"/>
      <c r="Y490" s="399"/>
      <c r="Z490" s="399"/>
      <c r="AA490" s="399"/>
      <c r="AB490" s="399"/>
      <c r="AC490" s="399"/>
      <c r="AG490" s="454"/>
      <c r="AH490" s="1122"/>
      <c r="AI490" s="399"/>
      <c r="AJ490" s="399"/>
      <c r="AK490" s="565"/>
      <c r="AN490" s="439"/>
      <c r="AO490" s="398" t="s">
        <v>2418</v>
      </c>
      <c r="AP490" s="398">
        <v>2</v>
      </c>
    </row>
    <row r="491" spans="1:81" s="438" customFormat="1" ht="12.75" hidden="1" customHeight="1">
      <c r="A491" s="398"/>
      <c r="B491" s="398"/>
      <c r="C491" s="572"/>
      <c r="D491" s="416"/>
      <c r="E491" s="416"/>
      <c r="F491" s="450" t="s">
        <v>2419</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122"/>
      <c r="AI491" s="399"/>
      <c r="AJ491" s="399"/>
      <c r="AK491" s="565"/>
      <c r="AL491" s="398"/>
      <c r="AM491" s="398"/>
      <c r="AN491" s="515"/>
      <c r="AO491" s="398" t="s">
        <v>2420</v>
      </c>
      <c r="AP491" s="398">
        <v>2</v>
      </c>
    </row>
    <row r="492" spans="1:81" s="398" customFormat="1" ht="12.75" hidden="1" customHeight="1">
      <c r="C492" s="608"/>
      <c r="F492" s="606" t="s">
        <v>2421</v>
      </c>
      <c r="M492" s="594"/>
      <c r="N492" s="594"/>
      <c r="O492" s="594"/>
      <c r="P492" s="594"/>
      <c r="Q492" s="399"/>
      <c r="R492" s="399"/>
      <c r="S492" s="399"/>
      <c r="T492" s="399"/>
      <c r="U492" s="399"/>
      <c r="V492" s="2367" t="s">
        <v>800</v>
      </c>
      <c r="W492" s="2367"/>
      <c r="X492" s="2367"/>
      <c r="Y492" s="399"/>
      <c r="Z492" s="399"/>
      <c r="AA492" s="399"/>
      <c r="AB492" s="399"/>
      <c r="AC492" s="399"/>
      <c r="AG492" s="454">
        <f>IF(AND($C$482="Yes",$V$485="N/A",$V$487="N/A", $V$496="N/A",$V$498="N/A"),(VLOOKUP($V$492,$AT$485:$AU$487,2,FALSE)),0)</f>
        <v>0</v>
      </c>
      <c r="AH492" s="1122" t="s">
        <v>2185</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2422</v>
      </c>
      <c r="D494" s="549"/>
      <c r="E494" s="549"/>
      <c r="F494" s="611" t="s">
        <v>2423</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800</v>
      </c>
      <c r="AP494" s="398">
        <v>0</v>
      </c>
      <c r="AQ494" s="388"/>
    </row>
    <row r="495" spans="1:81" s="438" customFormat="1" ht="12.75" hidden="1" customHeight="1">
      <c r="A495" s="398"/>
      <c r="B495" s="398"/>
      <c r="C495" s="612"/>
      <c r="D495" s="2386"/>
      <c r="E495" s="2386"/>
      <c r="F495" s="602" t="s">
        <v>2424</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2425</v>
      </c>
      <c r="AP495" s="477">
        <v>5</v>
      </c>
      <c r="AQ495" s="388"/>
    </row>
    <row r="496" spans="1:81" s="416" customFormat="1" ht="12.75" hidden="1" customHeight="1">
      <c r="A496" s="1135"/>
      <c r="B496" s="398"/>
      <c r="C496" s="593"/>
      <c r="D496" s="398"/>
      <c r="E496" s="398"/>
      <c r="F496" s="613" t="s">
        <v>2413</v>
      </c>
      <c r="G496" s="398"/>
      <c r="H496" s="398"/>
      <c r="I496" s="398"/>
      <c r="J496" s="398"/>
      <c r="K496" s="398"/>
      <c r="L496" s="398"/>
      <c r="M496" s="398"/>
      <c r="N496" s="398"/>
      <c r="O496" s="398"/>
      <c r="P496" s="398"/>
      <c r="Q496" s="398"/>
      <c r="R496" s="398"/>
      <c r="S496" s="398"/>
      <c r="T496" s="398"/>
      <c r="U496" s="398"/>
      <c r="V496" s="2367" t="s">
        <v>800</v>
      </c>
      <c r="W496" s="2367"/>
      <c r="X496" s="2367"/>
      <c r="Y496" s="398"/>
      <c r="Z496" s="398"/>
      <c r="AA496" s="398"/>
      <c r="AB496" s="398"/>
      <c r="AC496" s="398"/>
      <c r="AD496" s="398"/>
      <c r="AE496" s="398"/>
      <c r="AF496" s="398"/>
      <c r="AG496" s="454">
        <f>IF(AND($C$482="Yes",$V$485="N/A",V487="N/A",$V$492="N/A",$V$498="N/A"),(VLOOKUP($V$496,$BB$481:$BC$484,2,FALSE)),0)</f>
        <v>0</v>
      </c>
      <c r="AH496" s="1122" t="s">
        <v>2185</v>
      </c>
      <c r="AI496" s="399"/>
      <c r="AJ496" s="398"/>
      <c r="AK496" s="565"/>
      <c r="AL496" s="398"/>
      <c r="AM496" s="398"/>
      <c r="AN496" s="520"/>
      <c r="AO496" s="398" t="s">
        <v>2426</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135"/>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2427</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135"/>
      <c r="B498" s="398"/>
      <c r="C498" s="595"/>
      <c r="D498" s="561"/>
      <c r="E498" s="561"/>
      <c r="F498" s="606" t="s">
        <v>2414</v>
      </c>
      <c r="G498" s="597"/>
      <c r="H498" s="597"/>
      <c r="I498" s="561"/>
      <c r="J498" s="561"/>
      <c r="K498" s="561"/>
      <c r="L498" s="561"/>
      <c r="M498" s="561"/>
      <c r="N498" s="561"/>
      <c r="O498" s="561"/>
      <c r="P498" s="561"/>
      <c r="Q498" s="561"/>
      <c r="R498" s="561"/>
      <c r="S498" s="561"/>
      <c r="T498" s="561"/>
      <c r="U498" s="561"/>
      <c r="V498" s="2367" t="s">
        <v>800</v>
      </c>
      <c r="W498" s="2367"/>
      <c r="X498" s="2367"/>
      <c r="Y498" s="561"/>
      <c r="Z498" s="561"/>
      <c r="AA498" s="561"/>
      <c r="AB498" s="561"/>
      <c r="AC498" s="561"/>
      <c r="AD498" s="561"/>
      <c r="AE498" s="561"/>
      <c r="AF498" s="561"/>
      <c r="AG498" s="614">
        <f>IF(AND($C$482="Yes",$V$485="N/A",$V$487="N/A",$V$492="N/A",$V$496="N/A"),(VLOOKUP($V$498,$BF$481:$BG$483,2,FALSE)),0)</f>
        <v>0</v>
      </c>
      <c r="AH498" s="599" t="s">
        <v>2185</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135"/>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135"/>
      <c r="B500" s="398"/>
      <c r="C500" s="547" t="s">
        <v>2428</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135"/>
      <c r="B501" s="398"/>
      <c r="C501" s="2381" t="s">
        <v>800</v>
      </c>
      <c r="D501" s="2382"/>
      <c r="E501" s="592" t="s">
        <v>51</v>
      </c>
      <c r="F501" s="2459" t="s">
        <v>2401</v>
      </c>
      <c r="G501" s="2459"/>
      <c r="H501" s="2459"/>
      <c r="I501" s="2459"/>
      <c r="J501" s="2459"/>
      <c r="K501" s="2459"/>
      <c r="L501" s="2459"/>
      <c r="M501" s="2459"/>
      <c r="N501" s="2459"/>
      <c r="O501" s="2459"/>
      <c r="P501" s="2459"/>
      <c r="Q501" s="2459"/>
      <c r="R501" s="2459"/>
      <c r="S501" s="2459"/>
      <c r="T501" s="2459"/>
      <c r="U501" s="2459"/>
      <c r="V501" s="2459"/>
      <c r="W501" s="2459"/>
      <c r="X501" s="2459"/>
      <c r="Y501" s="2459"/>
      <c r="Z501" s="2459"/>
      <c r="AA501" s="2459"/>
      <c r="AB501" s="2459"/>
      <c r="AC501" s="2459"/>
      <c r="AD501" s="2459"/>
      <c r="AE501" s="2459"/>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135"/>
      <c r="B502" s="398"/>
      <c r="C502" s="593"/>
      <c r="D502" s="398"/>
      <c r="E502" s="594"/>
      <c r="F502" s="2460"/>
      <c r="G502" s="2460"/>
      <c r="H502" s="2460"/>
      <c r="I502" s="2460"/>
      <c r="J502" s="2460"/>
      <c r="K502" s="2460"/>
      <c r="L502" s="2460"/>
      <c r="M502" s="2460"/>
      <c r="N502" s="2460"/>
      <c r="O502" s="2460"/>
      <c r="P502" s="2460"/>
      <c r="Q502" s="2460"/>
      <c r="R502" s="2460"/>
      <c r="S502" s="2460"/>
      <c r="T502" s="2460"/>
      <c r="U502" s="2460"/>
      <c r="V502" s="2460"/>
      <c r="W502" s="2460"/>
      <c r="X502" s="2460"/>
      <c r="Y502" s="2460"/>
      <c r="Z502" s="2460"/>
      <c r="AA502" s="2460"/>
      <c r="AB502" s="2460"/>
      <c r="AC502" s="2460"/>
      <c r="AD502" s="2460"/>
      <c r="AE502" s="2460"/>
      <c r="AF502" s="398"/>
      <c r="AG502" s="399"/>
      <c r="AH502" s="399"/>
      <c r="AI502" s="399"/>
      <c r="AJ502" s="399"/>
      <c r="AK502" s="565"/>
      <c r="AL502" s="398"/>
      <c r="AM502" s="398"/>
      <c r="AN502" s="383"/>
      <c r="AO502" s="23"/>
      <c r="AP502" s="619"/>
      <c r="AQ502" s="619"/>
      <c r="AR502" s="619"/>
      <c r="AS502" s="1135"/>
      <c r="AT502" s="398"/>
      <c r="AU502" s="620"/>
      <c r="AV502" s="620"/>
      <c r="AW502" s="620"/>
      <c r="AX502" s="620"/>
      <c r="AY502" s="620"/>
      <c r="AZ502" s="620"/>
      <c r="BA502" s="620"/>
      <c r="BB502" s="11"/>
      <c r="BC502" s="11"/>
      <c r="BD502" s="385"/>
      <c r="BE502" s="619"/>
      <c r="BF502" s="619"/>
      <c r="BG502" s="619"/>
      <c r="BH502" s="1135"/>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135"/>
      <c r="B503" s="398"/>
      <c r="C503" s="595"/>
      <c r="D503" s="561"/>
      <c r="E503" s="596"/>
      <c r="F503" s="2380" t="s">
        <v>800</v>
      </c>
      <c r="G503" s="2380"/>
      <c r="H503" s="2380"/>
      <c r="I503" s="2380"/>
      <c r="J503" s="2380"/>
      <c r="K503" s="2380"/>
      <c r="L503" s="2380"/>
      <c r="M503" s="2380"/>
      <c r="N503" s="2380"/>
      <c r="O503" s="2380"/>
      <c r="P503" s="2380"/>
      <c r="Q503" s="2380"/>
      <c r="R503" s="2380"/>
      <c r="S503" s="2380"/>
      <c r="T503" s="2380"/>
      <c r="U503" s="2380"/>
      <c r="V503" s="2380"/>
      <c r="W503" s="2380"/>
      <c r="X503" s="2380"/>
      <c r="Y503" s="2380"/>
      <c r="Z503" s="2380"/>
      <c r="AA503" s="597"/>
      <c r="AB503" s="495"/>
      <c r="AC503" s="495"/>
      <c r="AD503" s="561"/>
      <c r="AE503" s="561"/>
      <c r="AF503" s="561"/>
      <c r="AG503" s="598">
        <f>IF($C$501="Yes",(VLOOKUP($F$503,$AO$471:$AP$479,2,FALSE)),0)</f>
        <v>0</v>
      </c>
      <c r="AH503" s="599" t="s">
        <v>2185</v>
      </c>
      <c r="AI503" s="598"/>
      <c r="AJ503" s="495"/>
      <c r="AK503" s="575"/>
      <c r="AL503" s="398"/>
      <c r="AM503" s="398"/>
      <c r="AN503" s="383"/>
      <c r="AO503" s="23"/>
      <c r="AP503" s="619"/>
      <c r="AQ503" s="619"/>
      <c r="AR503" s="619"/>
      <c r="AS503" s="1135"/>
      <c r="AT503" s="398"/>
      <c r="AU503" s="620"/>
      <c r="AV503" s="620"/>
      <c r="AW503" s="620"/>
      <c r="AX503" s="620"/>
      <c r="AY503" s="620"/>
      <c r="AZ503" s="620"/>
      <c r="BA503" s="620"/>
      <c r="BB503" s="11"/>
      <c r="BC503" s="11"/>
      <c r="BD503" s="385"/>
      <c r="BE503" s="619"/>
      <c r="BF503" s="619"/>
      <c r="BG503" s="619"/>
      <c r="BH503" s="1135"/>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135"/>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135"/>
      <c r="AT504" s="398"/>
      <c r="AU504" s="620"/>
      <c r="AV504" s="620"/>
      <c r="AW504" s="620"/>
      <c r="AX504" s="620"/>
      <c r="AY504" s="620"/>
      <c r="AZ504" s="620"/>
      <c r="BA504" s="620"/>
      <c r="BB504" s="11"/>
      <c r="BC504" s="11"/>
      <c r="BD504" s="385"/>
      <c r="BE504" s="619"/>
      <c r="BF504" s="619"/>
      <c r="BG504" s="619"/>
      <c r="BH504" s="1135"/>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381" t="s">
        <v>800</v>
      </c>
      <c r="D505" s="2382"/>
      <c r="E505" s="592" t="s">
        <v>53</v>
      </c>
      <c r="F505" s="2383" t="s">
        <v>2429</v>
      </c>
      <c r="G505" s="2383"/>
      <c r="H505" s="2383"/>
      <c r="I505" s="2383"/>
      <c r="J505" s="2383"/>
      <c r="K505" s="2383"/>
      <c r="L505" s="2383"/>
      <c r="M505" s="2383"/>
      <c r="N505" s="2383"/>
      <c r="O505" s="2383"/>
      <c r="P505" s="2383"/>
      <c r="Q505" s="2383"/>
      <c r="R505" s="2383"/>
      <c r="S505" s="2383"/>
      <c r="T505" s="2383"/>
      <c r="U505" s="2383"/>
      <c r="V505" s="2383"/>
      <c r="W505" s="2383"/>
      <c r="X505" s="2383"/>
      <c r="Y505" s="2383"/>
      <c r="Z505" s="2383"/>
      <c r="AA505" s="2383"/>
      <c r="AB505" s="2383"/>
      <c r="AC505" s="2383"/>
      <c r="AD505" s="2383"/>
      <c r="AE505" s="2383"/>
      <c r="AF505" s="549"/>
      <c r="AG505" s="487"/>
      <c r="AH505" s="487"/>
      <c r="AI505" s="487"/>
      <c r="AJ505" s="487"/>
      <c r="AK505" s="578"/>
      <c r="AL505" s="398"/>
      <c r="AM505" s="398"/>
      <c r="AN505" s="383"/>
      <c r="AO505" s="23"/>
      <c r="AP505" s="619"/>
      <c r="AQ505" s="619"/>
      <c r="AR505" s="619"/>
      <c r="AS505" s="1135"/>
      <c r="AT505" s="398"/>
      <c r="AU505" s="620"/>
      <c r="AV505" s="620"/>
      <c r="AW505" s="620"/>
      <c r="AX505" s="620"/>
      <c r="AY505" s="620"/>
      <c r="AZ505" s="620"/>
      <c r="BA505" s="620"/>
      <c r="BB505" s="11"/>
      <c r="BC505" s="11"/>
      <c r="BD505" s="385"/>
      <c r="BE505" s="619"/>
      <c r="BF505" s="619"/>
      <c r="BG505" s="619"/>
      <c r="BH505" s="1135"/>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384"/>
      <c r="G506" s="2384"/>
      <c r="H506" s="2384"/>
      <c r="I506" s="2384"/>
      <c r="J506" s="2384"/>
      <c r="K506" s="2384"/>
      <c r="L506" s="2384"/>
      <c r="M506" s="2384"/>
      <c r="N506" s="2384"/>
      <c r="O506" s="2384"/>
      <c r="P506" s="2384"/>
      <c r="Q506" s="2384"/>
      <c r="R506" s="2384"/>
      <c r="S506" s="2384"/>
      <c r="T506" s="2384"/>
      <c r="U506" s="2384"/>
      <c r="V506" s="2384"/>
      <c r="W506" s="2384"/>
      <c r="X506" s="2384"/>
      <c r="Y506" s="2384"/>
      <c r="Z506" s="2384"/>
      <c r="AA506" s="2384"/>
      <c r="AB506" s="2384"/>
      <c r="AC506" s="2384"/>
      <c r="AD506" s="2384"/>
      <c r="AE506" s="2384"/>
      <c r="AF506" s="398"/>
      <c r="AG506" s="399"/>
      <c r="AH506" s="399"/>
      <c r="AI506" s="399"/>
      <c r="AJ506" s="399"/>
      <c r="AK506" s="565"/>
      <c r="AL506" s="398"/>
      <c r="AM506" s="398"/>
      <c r="AN506" s="383"/>
      <c r="AO506" s="23"/>
      <c r="AP506" s="619"/>
      <c r="AQ506" s="619"/>
      <c r="AR506" s="619"/>
      <c r="AS506" s="1135"/>
      <c r="AT506" s="398"/>
      <c r="AU506" s="620"/>
      <c r="AV506" s="620"/>
      <c r="AW506" s="620"/>
      <c r="AX506" s="620"/>
      <c r="AY506" s="620"/>
      <c r="AZ506" s="620"/>
      <c r="BA506" s="620"/>
      <c r="BB506" s="11"/>
      <c r="BC506" s="11"/>
      <c r="BD506" s="385"/>
      <c r="BE506" s="619"/>
      <c r="BF506" s="619"/>
      <c r="BG506" s="619"/>
      <c r="BH506" s="1135"/>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2430</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129"/>
      <c r="AD507" s="398"/>
      <c r="AE507" s="398"/>
      <c r="AF507" s="398"/>
      <c r="AG507" s="454"/>
      <c r="AH507" s="454"/>
      <c r="AI507" s="454"/>
      <c r="AJ507" s="454"/>
      <c r="AK507" s="565"/>
      <c r="AL507" s="398"/>
      <c r="AM507" s="398"/>
      <c r="AN507" s="383"/>
      <c r="AO507" s="385"/>
      <c r="AP507" s="619"/>
      <c r="AQ507" s="619"/>
      <c r="AR507" s="619"/>
      <c r="AS507" s="1135"/>
      <c r="AT507" s="398"/>
      <c r="AU507" s="620"/>
      <c r="AV507" s="620"/>
      <c r="AW507" s="620"/>
      <c r="AX507" s="620"/>
      <c r="AY507" s="620"/>
      <c r="AZ507" s="620"/>
      <c r="BA507" s="620"/>
      <c r="BB507" s="385"/>
      <c r="BC507" s="385"/>
      <c r="BD507" s="385"/>
      <c r="BE507" s="619"/>
      <c r="BF507" s="619"/>
      <c r="BG507" s="619"/>
      <c r="BH507" s="1135"/>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t="13" hidden="1">
      <c r="A508" s="398"/>
      <c r="B508" s="398"/>
      <c r="C508" s="595"/>
      <c r="D508" s="561"/>
      <c r="E508" s="596"/>
      <c r="F508" s="2385" t="s">
        <v>800</v>
      </c>
      <c r="G508" s="2385"/>
      <c r="H508" s="2385"/>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2185</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t="13"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122"/>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t="13" hidden="1">
      <c r="A510" s="398"/>
      <c r="B510" s="398"/>
      <c r="C510" s="2381" t="s">
        <v>800</v>
      </c>
      <c r="D510" s="2382"/>
      <c r="E510" s="592" t="s">
        <v>2431</v>
      </c>
      <c r="F510" s="611" t="s">
        <v>2432</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t="13" hidden="1">
      <c r="A512" s="398"/>
      <c r="B512" s="398"/>
      <c r="C512" s="2401"/>
      <c r="D512" s="2386"/>
      <c r="E512" s="603"/>
      <c r="F512" s="399" t="s">
        <v>2433</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129"/>
      <c r="AD512" s="398"/>
      <c r="AE512" s="398"/>
      <c r="AF512" s="398"/>
      <c r="AG512" s="454">
        <f>IF($C$510="Yes",(VLOOKUP($G$513,$AO$488:$AP$491,2,FALSE)),0)</f>
        <v>0</v>
      </c>
      <c r="AH512" s="1122" t="s">
        <v>2185</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402" t="s">
        <v>800</v>
      </c>
      <c r="H513" s="2402"/>
      <c r="I513" s="2402"/>
      <c r="J513" s="2402"/>
      <c r="K513" s="2402"/>
      <c r="L513" s="2402"/>
      <c r="M513" s="2402"/>
      <c r="N513" s="2402"/>
      <c r="O513" s="2402"/>
      <c r="P513" s="2402"/>
      <c r="Q513" s="2402"/>
      <c r="R513" s="2402"/>
      <c r="S513" s="2402"/>
      <c r="T513" s="2402"/>
      <c r="U513" s="2402"/>
      <c r="V513" s="2402"/>
      <c r="W513" s="2402"/>
      <c r="X513" s="2402"/>
      <c r="Y513" s="2402"/>
      <c r="Z513" s="2402"/>
      <c r="AA513" s="2402"/>
      <c r="AB513" s="2402"/>
      <c r="AC513" s="2402"/>
      <c r="AD513" s="2402"/>
      <c r="AE513" s="2402"/>
      <c r="AF513" s="2402"/>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53" t="s">
        <v>800</v>
      </c>
      <c r="D515" s="2454"/>
      <c r="F515" s="399" t="s">
        <v>2434</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129"/>
      <c r="AD515" s="398"/>
      <c r="AE515" s="398"/>
      <c r="AF515" s="398"/>
      <c r="AG515" s="454">
        <f>IF(AND($C$515="Yes",$C$510="Yes"),2,0)</f>
        <v>0</v>
      </c>
      <c r="AH515" s="1122" t="s">
        <v>2185</v>
      </c>
      <c r="AI515" s="399"/>
      <c r="AJ515" s="1118"/>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t="13" hidden="1">
      <c r="A516" s="11"/>
      <c r="B516" s="398"/>
      <c r="C516" s="612"/>
      <c r="D516" s="1144"/>
      <c r="E516" s="1144"/>
      <c r="F516" s="399"/>
      <c r="G516" s="399" t="s">
        <v>2435</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129"/>
      <c r="AD516" s="398"/>
      <c r="AE516" s="398"/>
      <c r="AF516" s="398"/>
      <c r="AG516" s="1118"/>
      <c r="AH516" s="1118"/>
      <c r="AI516" s="1118"/>
      <c r="AJ516" s="1118"/>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144"/>
      <c r="E517" s="1144"/>
      <c r="F517" s="399"/>
      <c r="G517" s="399" t="s">
        <v>2436</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129"/>
      <c r="AG517" s="1118"/>
      <c r="AH517" s="1118"/>
      <c r="AI517" s="1118"/>
      <c r="AJ517" s="1118"/>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129"/>
      <c r="AH518" s="1129"/>
      <c r="AI518" s="1129"/>
      <c r="AJ518" s="1129"/>
      <c r="AK518" s="625"/>
      <c r="AL518" s="11"/>
      <c r="AM518" s="11"/>
      <c r="AN518" s="384"/>
      <c r="AO518" s="385"/>
      <c r="AP518" s="385"/>
      <c r="AQ518" s="385"/>
      <c r="AR518" s="385"/>
    </row>
    <row r="519" spans="1:81" s="398" customFormat="1" ht="12.75" hidden="1" customHeight="1">
      <c r="A519" s="477"/>
      <c r="C519" s="2453" t="s">
        <v>800</v>
      </c>
      <c r="D519" s="2454"/>
      <c r="F519" s="626" t="s">
        <v>2437</v>
      </c>
      <c r="G519" s="2363" t="s">
        <v>2438</v>
      </c>
      <c r="H519" s="2363"/>
      <c r="I519" s="2363"/>
      <c r="J519" s="2363"/>
      <c r="K519" s="2363"/>
      <c r="L519" s="2363"/>
      <c r="M519" s="2363"/>
      <c r="N519" s="2363"/>
      <c r="O519" s="2363"/>
      <c r="P519" s="2363"/>
      <c r="Q519" s="2363"/>
      <c r="R519" s="2363"/>
      <c r="S519" s="2363"/>
      <c r="T519" s="2363"/>
      <c r="U519" s="2363"/>
      <c r="V519" s="2363"/>
      <c r="W519" s="2363"/>
      <c r="X519" s="2363"/>
      <c r="Y519" s="2363"/>
      <c r="Z519" s="2363"/>
      <c r="AA519" s="2363"/>
      <c r="AB519" s="2363"/>
      <c r="AC519" s="2363"/>
      <c r="AD519" s="2363"/>
      <c r="AE519" s="2363"/>
      <c r="AF519" s="2363"/>
      <c r="AG519" s="454">
        <f>IF(AND($C$519="Yes",$C$510="Yes"),2,0)</f>
        <v>0</v>
      </c>
      <c r="AH519" s="1122" t="s">
        <v>2185</v>
      </c>
      <c r="AI519" s="399"/>
      <c r="AJ519" s="1118"/>
      <c r="AK519" s="565"/>
      <c r="AN519" s="384"/>
      <c r="AZ519" s="388"/>
      <c r="BC519" s="1112"/>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2364"/>
      <c r="H520" s="2364"/>
      <c r="I520" s="2364"/>
      <c r="J520" s="2364"/>
      <c r="K520" s="2364"/>
      <c r="L520" s="2364"/>
      <c r="M520" s="2364"/>
      <c r="N520" s="2364"/>
      <c r="O520" s="2364"/>
      <c r="P520" s="2364"/>
      <c r="Q520" s="2364"/>
      <c r="R520" s="2364"/>
      <c r="S520" s="2364"/>
      <c r="T520" s="2364"/>
      <c r="U520" s="2364"/>
      <c r="V520" s="2364"/>
      <c r="W520" s="2364"/>
      <c r="X520" s="2364"/>
      <c r="Y520" s="2364"/>
      <c r="Z520" s="2364"/>
      <c r="AA520" s="2364"/>
      <c r="AB520" s="2364"/>
      <c r="AC520" s="2364"/>
      <c r="AD520" s="2364"/>
      <c r="AE520" s="2364"/>
      <c r="AF520" s="2364"/>
      <c r="AG520" s="495"/>
      <c r="AH520" s="495"/>
      <c r="AI520" s="495"/>
      <c r="AJ520" s="495"/>
      <c r="AK520" s="575"/>
      <c r="AN520" s="384"/>
      <c r="AZ520" s="388"/>
      <c r="BC520" s="1112"/>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132"/>
      <c r="H521" s="1132"/>
      <c r="I521" s="1132"/>
      <c r="J521" s="1132"/>
      <c r="K521" s="1132"/>
      <c r="L521" s="1132"/>
      <c r="M521" s="1132"/>
      <c r="N521" s="1132"/>
      <c r="O521" s="1132"/>
      <c r="P521" s="1132"/>
      <c r="Q521" s="1132"/>
      <c r="R521" s="1132"/>
      <c r="S521" s="1132"/>
      <c r="T521" s="1132"/>
      <c r="U521" s="1132"/>
      <c r="V521" s="1132"/>
      <c r="W521" s="1132"/>
      <c r="X521" s="1132"/>
      <c r="Y521" s="1132"/>
      <c r="Z521" s="1132"/>
      <c r="AA521" s="1132"/>
      <c r="AB521" s="1132"/>
      <c r="AC521" s="1132"/>
      <c r="AD521" s="1132"/>
      <c r="AE521" s="1132"/>
      <c r="AF521" s="1132"/>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112"/>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2439</v>
      </c>
      <c r="D522" s="549"/>
      <c r="E522" s="630"/>
      <c r="F522" s="631"/>
      <c r="G522" s="1131"/>
      <c r="H522" s="1131"/>
      <c r="I522" s="1131"/>
      <c r="J522" s="1131"/>
      <c r="K522" s="1131"/>
      <c r="L522" s="1131"/>
      <c r="M522" s="1131"/>
      <c r="N522" s="1131"/>
      <c r="O522" s="1131"/>
      <c r="P522" s="1131"/>
      <c r="Q522" s="1131"/>
      <c r="R522" s="1131"/>
      <c r="S522" s="1131"/>
      <c r="T522" s="1131"/>
      <c r="U522" s="1131"/>
      <c r="V522" s="1131"/>
      <c r="W522" s="1131"/>
      <c r="X522" s="1131"/>
      <c r="Y522" s="1131"/>
      <c r="Z522" s="1131"/>
      <c r="AA522" s="1131"/>
      <c r="AB522" s="1131"/>
      <c r="AC522" s="1131"/>
      <c r="AD522" s="1131"/>
      <c r="AE522" s="1131"/>
      <c r="AF522" s="1131"/>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55" t="s">
        <v>800</v>
      </c>
      <c r="D523" s="2456"/>
      <c r="E523" s="632" t="s">
        <v>2440</v>
      </c>
      <c r="F523" s="602" t="s">
        <v>2441</v>
      </c>
      <c r="G523" s="1132"/>
      <c r="H523" s="1132"/>
      <c r="I523" s="1132"/>
      <c r="J523" s="1132"/>
      <c r="K523" s="1132"/>
      <c r="L523" s="1132"/>
      <c r="M523" s="1132"/>
      <c r="N523" s="1132"/>
      <c r="O523" s="1132"/>
      <c r="P523" s="1132"/>
      <c r="Q523" s="1132"/>
      <c r="R523" s="1132"/>
      <c r="S523" s="1132"/>
      <c r="T523" s="1132"/>
      <c r="U523" s="1132"/>
      <c r="V523" s="1132"/>
      <c r="W523" s="1132"/>
      <c r="X523" s="1132"/>
      <c r="Y523" s="1132"/>
      <c r="Z523" s="1132"/>
      <c r="AA523" s="1132"/>
      <c r="AB523" s="1132"/>
      <c r="AC523" s="1132"/>
      <c r="AD523" s="1132"/>
      <c r="AE523" s="1132"/>
      <c r="AF523" s="1132"/>
      <c r="AG523" s="454">
        <f>IF(C$523="Yes",(VLOOKUP(F$524,$AO$494:$AP$497,2,FALSE)),0)</f>
        <v>0</v>
      </c>
      <c r="AH523" s="1122" t="s">
        <v>2185</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57" t="s">
        <v>800</v>
      </c>
      <c r="G524" s="2457"/>
      <c r="H524" s="2457"/>
      <c r="I524" s="2457"/>
      <c r="J524" s="2457"/>
      <c r="K524" s="2457"/>
      <c r="L524" s="2457"/>
      <c r="M524" s="2457"/>
      <c r="N524" s="2457"/>
      <c r="O524" s="2457"/>
      <c r="P524" s="2457"/>
      <c r="Q524" s="2457"/>
      <c r="R524" s="2457"/>
      <c r="S524" s="2457"/>
      <c r="T524" s="2457"/>
      <c r="U524" s="2457"/>
      <c r="V524" s="2457"/>
      <c r="W524" s="2457"/>
      <c r="X524" s="2457"/>
      <c r="Y524" s="2457"/>
      <c r="Z524" s="2457"/>
      <c r="AA524" s="2457"/>
      <c r="AB524" s="2457"/>
      <c r="AC524" s="2457"/>
      <c r="AD524" s="2457"/>
      <c r="AE524" s="2457"/>
      <c r="AF524" s="2457"/>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58"/>
      <c r="G525" s="2458"/>
      <c r="H525" s="2458"/>
      <c r="I525" s="2458"/>
      <c r="J525" s="2458"/>
      <c r="K525" s="2458"/>
      <c r="L525" s="2458"/>
      <c r="M525" s="2458"/>
      <c r="N525" s="2458"/>
      <c r="O525" s="2458"/>
      <c r="P525" s="2458"/>
      <c r="Q525" s="2458"/>
      <c r="R525" s="2458"/>
      <c r="S525" s="2458"/>
      <c r="T525" s="2458"/>
      <c r="U525" s="2458"/>
      <c r="V525" s="2458"/>
      <c r="W525" s="2458"/>
      <c r="X525" s="2458"/>
      <c r="Y525" s="2458"/>
      <c r="Z525" s="2458"/>
      <c r="AA525" s="2458"/>
      <c r="AB525" s="2458"/>
      <c r="AC525" s="2458"/>
      <c r="AD525" s="2458"/>
      <c r="AE525" s="2458"/>
      <c r="AF525" s="2458"/>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2442</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2443</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2444</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2445</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2446</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2447</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2448</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2449</v>
      </c>
      <c r="AK535" s="2359">
        <f>SUM(AG479:AG524)</f>
        <v>0</v>
      </c>
      <c r="AL535" s="2360"/>
      <c r="AM535" s="2361"/>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112"/>
      <c r="AJ536" s="1112"/>
      <c r="AK536" s="437"/>
      <c r="AL536" s="437"/>
      <c r="AM536" s="437"/>
      <c r="AN536" s="439"/>
      <c r="AP536" s="385"/>
      <c r="AQ536" s="385"/>
      <c r="AR536" s="385"/>
      <c r="AS536" s="385"/>
      <c r="AT536" s="385"/>
      <c r="AU536" s="385"/>
      <c r="AV536" s="385"/>
      <c r="AW536" s="385"/>
      <c r="AX536" s="385"/>
      <c r="AY536" s="385"/>
      <c r="AZ536" s="385"/>
    </row>
    <row r="537" spans="1:81" ht="13" thickTop="1"/>
    <row r="538" spans="1:81" s="398" customFormat="1" ht="12.75" customHeight="1">
      <c r="A538" s="388" t="s">
        <v>2450</v>
      </c>
      <c r="B538" s="388" t="s">
        <v>2451</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92" t="s">
        <v>2452</v>
      </c>
      <c r="AF538" s="2392"/>
      <c r="AG538" s="2392"/>
      <c r="AH538" s="2392"/>
      <c r="AI538" s="2392"/>
      <c r="AJ538" s="2392"/>
      <c r="AK538" s="2392"/>
      <c r="AL538" s="437"/>
      <c r="AM538" s="437"/>
      <c r="AN538" s="439"/>
    </row>
    <row r="539" spans="1:81" s="398" customFormat="1" ht="12.75" customHeight="1">
      <c r="A539" s="388"/>
      <c r="B539" s="388" t="s">
        <v>2181</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112"/>
      <c r="AF539" s="1112"/>
      <c r="AG539" s="1112"/>
      <c r="AH539" s="1112"/>
      <c r="AI539" s="1112"/>
      <c r="AJ539" s="1112"/>
      <c r="AK539" s="1112"/>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112"/>
      <c r="AF540" s="1112"/>
      <c r="AG540" s="1112"/>
      <c r="AH540" s="1112"/>
      <c r="AI540" s="1112"/>
      <c r="AJ540" s="1112"/>
      <c r="AK540" s="1112"/>
      <c r="AL540" s="437"/>
      <c r="AM540" s="437"/>
      <c r="AN540" s="439"/>
    </row>
    <row r="541" spans="1:81" s="398" customFormat="1" ht="12.75" customHeight="1">
      <c r="A541" s="388"/>
      <c r="B541" s="388"/>
      <c r="C541" s="2373" t="s">
        <v>847</v>
      </c>
      <c r="D541" s="2373"/>
      <c r="E541" s="399"/>
      <c r="F541" s="2395" t="s">
        <v>2453</v>
      </c>
      <c r="G541" s="2396"/>
      <c r="H541" s="2396"/>
      <c r="I541" s="2396"/>
      <c r="J541" s="2396"/>
      <c r="K541" s="2396"/>
      <c r="L541" s="2396"/>
      <c r="M541" s="2396"/>
      <c r="N541" s="2396"/>
      <c r="O541" s="2396"/>
      <c r="P541" s="2396"/>
      <c r="Q541" s="2396"/>
      <c r="R541" s="2396"/>
      <c r="S541" s="2396"/>
      <c r="T541" s="2396"/>
      <c r="U541" s="2396"/>
      <c r="V541" s="2396"/>
      <c r="W541" s="2396"/>
      <c r="X541" s="2396"/>
      <c r="Y541" s="2396"/>
      <c r="Z541" s="2396"/>
      <c r="AA541" s="2396"/>
      <c r="AB541" s="2396"/>
      <c r="AC541" s="2396"/>
      <c r="AD541" s="2396"/>
      <c r="AE541" s="2396"/>
      <c r="AF541" s="2396"/>
      <c r="AG541" s="2396"/>
      <c r="AH541" s="2396"/>
      <c r="AI541" s="2396"/>
      <c r="AJ541" s="2396"/>
      <c r="AK541" s="2396"/>
      <c r="AL541" s="2397"/>
      <c r="AM541" s="437"/>
      <c r="AN541" s="439"/>
    </row>
    <row r="542" spans="1:81" s="398" customFormat="1" ht="12.75" customHeight="1">
      <c r="A542" s="388"/>
      <c r="B542" s="388"/>
      <c r="C542" s="399"/>
      <c r="D542" s="399"/>
      <c r="E542" s="399"/>
      <c r="F542" s="2398"/>
      <c r="G542" s="2399"/>
      <c r="H542" s="2399"/>
      <c r="I542" s="2399"/>
      <c r="J542" s="2399"/>
      <c r="K542" s="2399"/>
      <c r="L542" s="2399"/>
      <c r="M542" s="2399"/>
      <c r="N542" s="2399"/>
      <c r="O542" s="2399"/>
      <c r="P542" s="2399"/>
      <c r="Q542" s="2399"/>
      <c r="R542" s="2399"/>
      <c r="S542" s="2399"/>
      <c r="T542" s="2399"/>
      <c r="U542" s="2399"/>
      <c r="V542" s="2399"/>
      <c r="W542" s="2399"/>
      <c r="X542" s="2399"/>
      <c r="Y542" s="2399"/>
      <c r="Z542" s="2399"/>
      <c r="AA542" s="2399"/>
      <c r="AB542" s="2399"/>
      <c r="AC542" s="2399"/>
      <c r="AD542" s="2399"/>
      <c r="AE542" s="2399"/>
      <c r="AF542" s="2399"/>
      <c r="AG542" s="2399"/>
      <c r="AH542" s="2399"/>
      <c r="AI542" s="2399"/>
      <c r="AJ542" s="2399"/>
      <c r="AK542" s="2399"/>
      <c r="AL542" s="2400"/>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2373" t="s">
        <v>800</v>
      </c>
      <c r="D544" s="2373"/>
      <c r="E544" s="636"/>
      <c r="F544" s="482" t="s">
        <v>2454</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351" t="s">
        <v>2455</v>
      </c>
      <c r="G545" s="2352"/>
      <c r="H545" s="2352"/>
      <c r="I545" s="2352"/>
      <c r="J545" s="2352"/>
      <c r="K545" s="2352"/>
      <c r="L545" s="2352"/>
      <c r="M545" s="2352"/>
      <c r="N545" s="2352"/>
      <c r="O545" s="2352"/>
      <c r="P545" s="2352"/>
      <c r="Q545" s="2352"/>
      <c r="R545" s="2352"/>
      <c r="S545" s="2352"/>
      <c r="T545" s="2352"/>
      <c r="U545" s="2352"/>
      <c r="V545" s="2352"/>
      <c r="W545" s="2352"/>
      <c r="X545" s="2352"/>
      <c r="Y545" s="2352"/>
      <c r="Z545" s="2352"/>
      <c r="AA545" s="2352"/>
      <c r="AB545" s="2352"/>
      <c r="AC545" s="2352"/>
      <c r="AD545" s="2352"/>
      <c r="AE545" s="2352"/>
      <c r="AF545" s="2352"/>
      <c r="AG545" s="2352"/>
      <c r="AH545" s="2352"/>
      <c r="AI545" s="2352"/>
      <c r="AJ545" s="2352"/>
      <c r="AK545" s="2352"/>
      <c r="AL545" s="2353"/>
      <c r="AM545" s="437"/>
      <c r="AN545" s="439"/>
      <c r="AS545" s="692"/>
      <c r="AT545" s="692"/>
      <c r="AU545" s="692"/>
      <c r="AV545" s="692"/>
      <c r="AW545" s="692"/>
    </row>
    <row r="546" spans="1:49" s="398" customFormat="1" ht="12.75" customHeight="1">
      <c r="B546" s="636"/>
      <c r="C546" s="636"/>
      <c r="D546" s="636"/>
      <c r="E546" s="636"/>
      <c r="F546" s="2351"/>
      <c r="G546" s="2352"/>
      <c r="H546" s="2352"/>
      <c r="I546" s="2352"/>
      <c r="J546" s="2352"/>
      <c r="K546" s="2352"/>
      <c r="L546" s="2352"/>
      <c r="M546" s="2352"/>
      <c r="N546" s="2352"/>
      <c r="O546" s="2352"/>
      <c r="P546" s="2352"/>
      <c r="Q546" s="2352"/>
      <c r="R546" s="2352"/>
      <c r="S546" s="2352"/>
      <c r="T546" s="2352"/>
      <c r="U546" s="2352"/>
      <c r="V546" s="2352"/>
      <c r="W546" s="2352"/>
      <c r="X546" s="2352"/>
      <c r="Y546" s="2352"/>
      <c r="Z546" s="2352"/>
      <c r="AA546" s="2352"/>
      <c r="AB546" s="2352"/>
      <c r="AC546" s="2352"/>
      <c r="AD546" s="2352"/>
      <c r="AE546" s="2352"/>
      <c r="AF546" s="2352"/>
      <c r="AG546" s="2352"/>
      <c r="AH546" s="2352"/>
      <c r="AI546" s="2352"/>
      <c r="AJ546" s="2352"/>
      <c r="AK546" s="2352"/>
      <c r="AL546" s="2353"/>
      <c r="AM546" s="437"/>
      <c r="AN546" s="439"/>
    </row>
    <row r="547" spans="1:49" s="398" customFormat="1" ht="12.75" customHeight="1">
      <c r="B547" s="636"/>
      <c r="C547" s="636"/>
      <c r="D547" s="636"/>
      <c r="E547" s="636"/>
      <c r="F547" s="641" t="s">
        <v>2456</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351" t="s">
        <v>2457</v>
      </c>
      <c r="G548" s="2352"/>
      <c r="H548" s="2352"/>
      <c r="I548" s="2352"/>
      <c r="J548" s="2352"/>
      <c r="K548" s="2352"/>
      <c r="L548" s="2352"/>
      <c r="M548" s="2352"/>
      <c r="N548" s="2352"/>
      <c r="O548" s="2352"/>
      <c r="P548" s="2352"/>
      <c r="Q548" s="2352"/>
      <c r="R548" s="2352"/>
      <c r="S548" s="2352"/>
      <c r="T548" s="2352"/>
      <c r="U548" s="2352"/>
      <c r="V548" s="2352"/>
      <c r="W548" s="2352"/>
      <c r="X548" s="2352"/>
      <c r="Y548" s="2352"/>
      <c r="Z548" s="2352"/>
      <c r="AA548" s="2352"/>
      <c r="AB548" s="2352"/>
      <c r="AC548" s="2352"/>
      <c r="AD548" s="2352"/>
      <c r="AE548" s="2352"/>
      <c r="AF548" s="2352"/>
      <c r="AG548" s="2352"/>
      <c r="AH548" s="2352"/>
      <c r="AI548" s="2352"/>
      <c r="AJ548" s="2352"/>
      <c r="AK548" s="2352"/>
      <c r="AL548" s="643"/>
      <c r="AM548" s="437"/>
      <c r="AN548" s="439"/>
    </row>
    <row r="549" spans="1:49" s="398" customFormat="1" ht="12.75" customHeight="1">
      <c r="B549" s="636"/>
      <c r="C549" s="636"/>
      <c r="D549" s="636"/>
      <c r="E549" s="636"/>
      <c r="F549" s="2354"/>
      <c r="G549" s="2355"/>
      <c r="H549" s="2355"/>
      <c r="I549" s="2355"/>
      <c r="J549" s="2355"/>
      <c r="K549" s="2355"/>
      <c r="L549" s="2355"/>
      <c r="M549" s="2355"/>
      <c r="N549" s="2355"/>
      <c r="O549" s="2355"/>
      <c r="P549" s="2355"/>
      <c r="Q549" s="2355"/>
      <c r="R549" s="2355"/>
      <c r="S549" s="2355"/>
      <c r="T549" s="2355"/>
      <c r="U549" s="2355"/>
      <c r="V549" s="2355"/>
      <c r="W549" s="2355"/>
      <c r="X549" s="2355"/>
      <c r="Y549" s="2355"/>
      <c r="Z549" s="2355"/>
      <c r="AA549" s="2355"/>
      <c r="AB549" s="2355"/>
      <c r="AC549" s="2355"/>
      <c r="AD549" s="2355"/>
      <c r="AE549" s="2355"/>
      <c r="AF549" s="2355"/>
      <c r="AG549" s="2355"/>
      <c r="AH549" s="2355"/>
      <c r="AI549" s="2355"/>
      <c r="AJ549" s="2355"/>
      <c r="AK549" s="2355"/>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350">
        <f>Application!AJ992</f>
        <v>29555968</v>
      </c>
      <c r="AQ550" s="2350"/>
      <c r="AR550" s="2350"/>
      <c r="AS550" s="398" t="s">
        <v>2458</v>
      </c>
    </row>
    <row r="551" spans="1:49" s="398" customFormat="1" ht="12.75" customHeight="1">
      <c r="A551" s="350"/>
      <c r="B551" s="1057" t="s">
        <v>2459</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356">
        <f>'Sources and Uses Budget'!S107+'Sources and Uses Budget'!T107</f>
        <v>36140820</v>
      </c>
      <c r="AG551" s="2356"/>
      <c r="AH551" s="2356"/>
      <c r="AI551" s="2356"/>
      <c r="AJ551" s="2356"/>
      <c r="AK551" s="437"/>
      <c r="AL551" s="437"/>
      <c r="AM551" s="437"/>
      <c r="AN551" s="439"/>
    </row>
    <row r="552" spans="1:49" s="398" customFormat="1" ht="12.75" customHeight="1">
      <c r="A552" s="465"/>
      <c r="B552" s="465" t="s">
        <v>2460</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357">
        <f>IFERROR(AP559,0)</f>
        <v>59921745.400000006</v>
      </c>
      <c r="AG552" s="2357"/>
      <c r="AH552" s="2357"/>
      <c r="AI552" s="2357"/>
      <c r="AJ552" s="2357"/>
      <c r="AK552" s="437"/>
      <c r="AL552" s="437"/>
      <c r="AM552" s="437"/>
      <c r="AN552" s="439"/>
      <c r="AP552" s="2350">
        <f>Application!AJ1045</f>
        <v>14777984</v>
      </c>
      <c r="AQ552" s="2350"/>
      <c r="AR552" s="2350"/>
      <c r="AS552" s="398" t="s">
        <v>1726</v>
      </c>
    </row>
    <row r="553" spans="1:49" s="398" customFormat="1" ht="12.75" customHeight="1">
      <c r="A553" s="464"/>
      <c r="B553" s="464" t="s">
        <v>1656</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358">
        <f>IFERROR(ROUNDDOWN(IF(C544="YES",((1-(AF551/AF552))*2),(1-(AF551/AF552))),2),0)</f>
        <v>0.39</v>
      </c>
      <c r="AG553" s="2358"/>
      <c r="AH553" s="2358"/>
      <c r="AI553" s="2358"/>
      <c r="AJ553" s="2358"/>
      <c r="AK553" s="437"/>
      <c r="AL553" s="437"/>
      <c r="AM553" s="437"/>
      <c r="AN553" s="439"/>
      <c r="AP553" s="2346">
        <f>Application!AJ1049</f>
        <v>17733580.800000001</v>
      </c>
      <c r="AQ553" s="2346"/>
      <c r="AR553" s="2346"/>
      <c r="AS553" s="398" t="s">
        <v>1736</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365">
        <f>IF(((AP552+AP553)/AP550)&gt;0.8,0.8,((AP552+AP553)/AP550))</f>
        <v>0.8</v>
      </c>
      <c r="AQ554" s="2365"/>
      <c r="AR554" s="2365"/>
      <c r="AS554" s="398" t="s">
        <v>2461</v>
      </c>
    </row>
    <row r="555" spans="1:49" s="398" customFormat="1" ht="12.75" customHeight="1">
      <c r="A555" s="464"/>
      <c r="B555" s="2432" t="s">
        <v>2462</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2433"/>
      <c r="AH555" s="2433"/>
      <c r="AI555" s="2433"/>
      <c r="AJ555" s="2434"/>
      <c r="AK555" s="437"/>
      <c r="AL555" s="437"/>
      <c r="AM555" s="437"/>
      <c r="AN555" s="439"/>
    </row>
    <row r="556" spans="1:49" s="398" customFormat="1" ht="12.75" customHeight="1">
      <c r="A556" s="464"/>
      <c r="B556" s="2435"/>
      <c r="C556" s="2436"/>
      <c r="D556" s="2436"/>
      <c r="E556" s="2436"/>
      <c r="F556" s="2436"/>
      <c r="G556" s="2436"/>
      <c r="H556" s="2436"/>
      <c r="I556" s="2436"/>
      <c r="J556" s="2436"/>
      <c r="K556" s="2436"/>
      <c r="L556" s="2436"/>
      <c r="M556" s="2436"/>
      <c r="N556" s="2436"/>
      <c r="O556" s="2436"/>
      <c r="P556" s="2436"/>
      <c r="Q556" s="2436"/>
      <c r="R556" s="2436"/>
      <c r="S556" s="2436"/>
      <c r="T556" s="2436"/>
      <c r="U556" s="2436"/>
      <c r="V556" s="2436"/>
      <c r="W556" s="2436"/>
      <c r="X556" s="2436"/>
      <c r="Y556" s="2436"/>
      <c r="Z556" s="2436"/>
      <c r="AA556" s="2436"/>
      <c r="AB556" s="2436"/>
      <c r="AC556" s="2436"/>
      <c r="AD556" s="2436"/>
      <c r="AE556" s="2436"/>
      <c r="AF556" s="2436"/>
      <c r="AG556" s="2436"/>
      <c r="AH556" s="2436"/>
      <c r="AI556" s="2436"/>
      <c r="AJ556" s="2437"/>
      <c r="AK556" s="437"/>
      <c r="AL556" s="437"/>
      <c r="AM556" s="437"/>
      <c r="AN556" s="439"/>
      <c r="AP556" s="2350">
        <f>AP557-AP552-AP553</f>
        <v>36276971</v>
      </c>
      <c r="AQ556" s="2366"/>
      <c r="AR556" s="2366"/>
      <c r="AS556" s="398" t="s">
        <v>2463</v>
      </c>
    </row>
    <row r="557" spans="1:49" s="398" customFormat="1" ht="12.75" customHeight="1">
      <c r="A557" s="464"/>
      <c r="B557" s="2438"/>
      <c r="C557" s="2439"/>
      <c r="D557" s="2439"/>
      <c r="E557" s="2439"/>
      <c r="F557" s="2439"/>
      <c r="G557" s="2439"/>
      <c r="H557" s="2439"/>
      <c r="I557" s="2439"/>
      <c r="J557" s="2439"/>
      <c r="K557" s="2439"/>
      <c r="L557" s="2439"/>
      <c r="M557" s="2439"/>
      <c r="N557" s="2439"/>
      <c r="O557" s="2439"/>
      <c r="P557" s="2439"/>
      <c r="Q557" s="2439"/>
      <c r="R557" s="2439"/>
      <c r="S557" s="2439"/>
      <c r="T557" s="2439"/>
      <c r="U557" s="2439"/>
      <c r="V557" s="2439"/>
      <c r="W557" s="2439"/>
      <c r="X557" s="2439"/>
      <c r="Y557" s="2439"/>
      <c r="Z557" s="2439"/>
      <c r="AA557" s="2439"/>
      <c r="AB557" s="2439"/>
      <c r="AC557" s="2439"/>
      <c r="AD557" s="2439"/>
      <c r="AE557" s="2439"/>
      <c r="AF557" s="2439"/>
      <c r="AG557" s="2439"/>
      <c r="AH557" s="2439"/>
      <c r="AI557" s="2439"/>
      <c r="AJ557" s="2440"/>
      <c r="AK557" s="437"/>
      <c r="AL557" s="437"/>
      <c r="AM557" s="437"/>
      <c r="AN557" s="439"/>
      <c r="AP557" s="2350">
        <f>Application!AJ1053</f>
        <v>68788535.799999997</v>
      </c>
      <c r="AQ557" s="2350"/>
      <c r="AR557" s="2350"/>
      <c r="AS557" s="398" t="s">
        <v>2464</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112"/>
      <c r="AJ558" s="1112"/>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2465</v>
      </c>
      <c r="AK559" s="2441">
        <f>IFERROR(IF(AND(C541="N/A",C544="N/A"),0,IF(AF553=0,0,IF((AF553*100)&gt;12,12,(AF553*100)))),0)</f>
        <v>12</v>
      </c>
      <c r="AL559" s="2441"/>
      <c r="AM559" s="2442"/>
      <c r="AN559" s="439"/>
      <c r="AP559" s="2335">
        <f>AP556+(AP550*AP554)</f>
        <v>59921745.400000006</v>
      </c>
      <c r="AQ559" s="2336"/>
      <c r="AR559" s="2337"/>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2466</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92" t="s">
        <v>2165</v>
      </c>
      <c r="AF562" s="2392"/>
      <c r="AG562" s="2392"/>
      <c r="AH562" s="2392"/>
      <c r="AI562" s="2392"/>
      <c r="AJ562" s="2392"/>
      <c r="AK562" s="2392"/>
      <c r="AL562" s="1129"/>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352" t="s">
        <v>2467</v>
      </c>
      <c r="C564" s="2352"/>
      <c r="D564" s="2352"/>
      <c r="E564" s="2352"/>
      <c r="F564" s="2352"/>
      <c r="G564" s="2352"/>
      <c r="H564" s="2352"/>
      <c r="I564" s="2352"/>
      <c r="J564" s="2352"/>
      <c r="K564" s="2352"/>
      <c r="L564" s="2352"/>
      <c r="M564" s="2352"/>
      <c r="N564" s="2352"/>
      <c r="O564" s="2352"/>
      <c r="P564" s="2352"/>
      <c r="Q564" s="2352"/>
      <c r="R564" s="2352"/>
      <c r="S564" s="2352"/>
      <c r="T564" s="2352"/>
      <c r="U564" s="2352"/>
      <c r="V564" s="2352"/>
      <c r="W564" s="2352"/>
      <c r="X564" s="2352"/>
      <c r="Y564" s="2352"/>
      <c r="Z564" s="2352"/>
      <c r="AA564" s="2352"/>
      <c r="AB564" s="2352"/>
      <c r="AC564" s="2352"/>
      <c r="AD564" s="2352"/>
      <c r="AE564" s="2352"/>
      <c r="AF564" s="2352"/>
      <c r="AG564" s="2352"/>
      <c r="AH564" s="2352"/>
      <c r="AI564" s="2352"/>
      <c r="AJ564" s="2352"/>
      <c r="AK564" s="481"/>
      <c r="AL564" s="1132"/>
      <c r="AM564" s="445"/>
      <c r="AN564" s="439"/>
    </row>
    <row r="565" spans="1:42" s="398" customFormat="1" ht="12.75" customHeight="1">
      <c r="A565" s="445"/>
      <c r="B565" s="2352"/>
      <c r="C565" s="2352"/>
      <c r="D565" s="2352"/>
      <c r="E565" s="2352"/>
      <c r="F565" s="2352"/>
      <c r="G565" s="2352"/>
      <c r="H565" s="2352"/>
      <c r="I565" s="2352"/>
      <c r="J565" s="2352"/>
      <c r="K565" s="2352"/>
      <c r="L565" s="2352"/>
      <c r="M565" s="2352"/>
      <c r="N565" s="2352"/>
      <c r="O565" s="2352"/>
      <c r="P565" s="2352"/>
      <c r="Q565" s="2352"/>
      <c r="R565" s="2352"/>
      <c r="S565" s="2352"/>
      <c r="T565" s="2352"/>
      <c r="U565" s="2352"/>
      <c r="V565" s="2352"/>
      <c r="W565" s="2352"/>
      <c r="X565" s="2352"/>
      <c r="Y565" s="2352"/>
      <c r="Z565" s="2352"/>
      <c r="AA565" s="2352"/>
      <c r="AB565" s="2352"/>
      <c r="AC565" s="2352"/>
      <c r="AD565" s="2352"/>
      <c r="AE565" s="2352"/>
      <c r="AF565" s="2352"/>
      <c r="AG565" s="2352"/>
      <c r="AH565" s="2352"/>
      <c r="AI565" s="2352"/>
      <c r="AJ565" s="2352"/>
      <c r="AK565" s="481"/>
      <c r="AL565" s="1132"/>
      <c r="AM565" s="445"/>
      <c r="AN565" s="439"/>
    </row>
    <row r="566" spans="1:42" s="398" customFormat="1" ht="12.75" customHeight="1">
      <c r="A566" s="445"/>
      <c r="B566" s="2352"/>
      <c r="C566" s="2352"/>
      <c r="D566" s="2352"/>
      <c r="E566" s="2352"/>
      <c r="F566" s="2352"/>
      <c r="G566" s="2352"/>
      <c r="H566" s="2352"/>
      <c r="I566" s="2352"/>
      <c r="J566" s="2352"/>
      <c r="K566" s="2352"/>
      <c r="L566" s="2352"/>
      <c r="M566" s="2352"/>
      <c r="N566" s="2352"/>
      <c r="O566" s="2352"/>
      <c r="P566" s="2352"/>
      <c r="Q566" s="2352"/>
      <c r="R566" s="2352"/>
      <c r="S566" s="2352"/>
      <c r="T566" s="2352"/>
      <c r="U566" s="2352"/>
      <c r="V566" s="2352"/>
      <c r="W566" s="2352"/>
      <c r="X566" s="2352"/>
      <c r="Y566" s="2352"/>
      <c r="Z566" s="2352"/>
      <c r="AA566" s="2352"/>
      <c r="AB566" s="2352"/>
      <c r="AC566" s="2352"/>
      <c r="AD566" s="2352"/>
      <c r="AE566" s="2352"/>
      <c r="AF566" s="2352"/>
      <c r="AG566" s="2352"/>
      <c r="AH566" s="2352"/>
      <c r="AI566" s="2352"/>
      <c r="AJ566" s="2352"/>
      <c r="AK566" s="481"/>
      <c r="AL566" s="1132"/>
      <c r="AM566" s="445"/>
      <c r="AN566" s="439"/>
    </row>
    <row r="567" spans="1:42" s="398" customFormat="1" ht="12.75" customHeight="1">
      <c r="A567" s="445"/>
      <c r="B567" s="2352"/>
      <c r="C567" s="2352"/>
      <c r="D567" s="2352"/>
      <c r="E567" s="2352"/>
      <c r="F567" s="2352"/>
      <c r="G567" s="2352"/>
      <c r="H567" s="2352"/>
      <c r="I567" s="2352"/>
      <c r="J567" s="2352"/>
      <c r="K567" s="2352"/>
      <c r="L567" s="2352"/>
      <c r="M567" s="2352"/>
      <c r="N567" s="2352"/>
      <c r="O567" s="2352"/>
      <c r="P567" s="2352"/>
      <c r="Q567" s="2352"/>
      <c r="R567" s="2352"/>
      <c r="S567" s="2352"/>
      <c r="T567" s="2352"/>
      <c r="U567" s="2352"/>
      <c r="V567" s="2352"/>
      <c r="W567" s="2352"/>
      <c r="X567" s="2352"/>
      <c r="Y567" s="2352"/>
      <c r="Z567" s="2352"/>
      <c r="AA567" s="2352"/>
      <c r="AB567" s="2352"/>
      <c r="AC567" s="2352"/>
      <c r="AD567" s="2352"/>
      <c r="AE567" s="2352"/>
      <c r="AF567" s="2352"/>
      <c r="AG567" s="2352"/>
      <c r="AH567" s="2352"/>
      <c r="AI567" s="2352"/>
      <c r="AJ567" s="2352"/>
      <c r="AK567" s="481"/>
      <c r="AL567" s="1132"/>
      <c r="AM567" s="445"/>
      <c r="AN567" s="439"/>
    </row>
    <row r="568" spans="1:42" s="398" customFormat="1" ht="12.75" customHeight="1">
      <c r="A568" s="445"/>
      <c r="B568" s="2352"/>
      <c r="C568" s="2352"/>
      <c r="D568" s="2352"/>
      <c r="E568" s="2352"/>
      <c r="F568" s="2352"/>
      <c r="G568" s="2352"/>
      <c r="H568" s="2352"/>
      <c r="I568" s="2352"/>
      <c r="J568" s="2352"/>
      <c r="K568" s="2352"/>
      <c r="L568" s="2352"/>
      <c r="M568" s="2352"/>
      <c r="N568" s="2352"/>
      <c r="O568" s="2352"/>
      <c r="P568" s="2352"/>
      <c r="Q568" s="2352"/>
      <c r="R568" s="2352"/>
      <c r="S568" s="2352"/>
      <c r="T568" s="2352"/>
      <c r="U568" s="2352"/>
      <c r="V568" s="2352"/>
      <c r="W568" s="2352"/>
      <c r="X568" s="2352"/>
      <c r="Y568" s="2352"/>
      <c r="Z568" s="2352"/>
      <c r="AA568" s="2352"/>
      <c r="AB568" s="2352"/>
      <c r="AC568" s="2352"/>
      <c r="AD568" s="2352"/>
      <c r="AE568" s="2352"/>
      <c r="AF568" s="2352"/>
      <c r="AG568" s="2352"/>
      <c r="AH568" s="2352"/>
      <c r="AI568" s="2352"/>
      <c r="AJ568" s="2352"/>
      <c r="AK568" s="481"/>
      <c r="AL568" s="1132"/>
      <c r="AM568" s="445"/>
      <c r="AN568" s="439"/>
    </row>
    <row r="569" spans="1:42" s="398" customFormat="1" ht="12.75" customHeight="1">
      <c r="A569" s="445"/>
      <c r="B569" s="2352"/>
      <c r="C569" s="2352"/>
      <c r="D569" s="2352"/>
      <c r="E569" s="2352"/>
      <c r="F569" s="2352"/>
      <c r="G569" s="2352"/>
      <c r="H569" s="2352"/>
      <c r="I569" s="2352"/>
      <c r="J569" s="2352"/>
      <c r="K569" s="2352"/>
      <c r="L569" s="2352"/>
      <c r="M569" s="2352"/>
      <c r="N569" s="2352"/>
      <c r="O569" s="2352"/>
      <c r="P569" s="2352"/>
      <c r="Q569" s="2352"/>
      <c r="R569" s="2352"/>
      <c r="S569" s="2352"/>
      <c r="T569" s="2352"/>
      <c r="U569" s="2352"/>
      <c r="V569" s="2352"/>
      <c r="W569" s="2352"/>
      <c r="X569" s="2352"/>
      <c r="Y569" s="2352"/>
      <c r="Z569" s="2352"/>
      <c r="AA569" s="2352"/>
      <c r="AB569" s="2352"/>
      <c r="AC569" s="2352"/>
      <c r="AD569" s="2352"/>
      <c r="AE569" s="2352"/>
      <c r="AF569" s="2352"/>
      <c r="AG569" s="2352"/>
      <c r="AH569" s="2352"/>
      <c r="AI569" s="2352"/>
      <c r="AJ569" s="2352"/>
      <c r="AK569" s="481"/>
      <c r="AL569" s="1132"/>
      <c r="AM569" s="445"/>
      <c r="AN569" s="439"/>
    </row>
    <row r="570" spans="1:42" s="398" customFormat="1" ht="12.75" customHeight="1">
      <c r="A570" s="445"/>
      <c r="B570" s="2352"/>
      <c r="C570" s="2352"/>
      <c r="D570" s="2352"/>
      <c r="E570" s="2352"/>
      <c r="F570" s="2352"/>
      <c r="G570" s="2352"/>
      <c r="H570" s="2352"/>
      <c r="I570" s="2352"/>
      <c r="J570" s="2352"/>
      <c r="K570" s="2352"/>
      <c r="L570" s="2352"/>
      <c r="M570" s="2352"/>
      <c r="N570" s="2352"/>
      <c r="O570" s="2352"/>
      <c r="P570" s="2352"/>
      <c r="Q570" s="2352"/>
      <c r="R570" s="2352"/>
      <c r="S570" s="2352"/>
      <c r="T570" s="2352"/>
      <c r="U570" s="2352"/>
      <c r="V570" s="2352"/>
      <c r="W570" s="2352"/>
      <c r="X570" s="2352"/>
      <c r="Y570" s="2352"/>
      <c r="Z570" s="2352"/>
      <c r="AA570" s="2352"/>
      <c r="AB570" s="2352"/>
      <c r="AC570" s="2352"/>
      <c r="AD570" s="2352"/>
      <c r="AE570" s="2352"/>
      <c r="AF570" s="2352"/>
      <c r="AG570" s="2352"/>
      <c r="AH570" s="2352"/>
      <c r="AI570" s="2352"/>
      <c r="AJ570" s="2352"/>
      <c r="AK570" s="481"/>
      <c r="AL570" s="1132"/>
      <c r="AM570" s="445"/>
      <c r="AN570" s="439"/>
    </row>
    <row r="571" spans="1:42" ht="12.75" customHeight="1">
      <c r="A571" s="445"/>
      <c r="B571" s="2352"/>
      <c r="C571" s="2352"/>
      <c r="D571" s="2352"/>
      <c r="E571" s="2352"/>
      <c r="F571" s="2352"/>
      <c r="G571" s="2352"/>
      <c r="H571" s="2352"/>
      <c r="I571" s="2352"/>
      <c r="J571" s="2352"/>
      <c r="K571" s="2352"/>
      <c r="L571" s="2352"/>
      <c r="M571" s="2352"/>
      <c r="N571" s="2352"/>
      <c r="O571" s="2352"/>
      <c r="P571" s="2352"/>
      <c r="Q571" s="2352"/>
      <c r="R571" s="2352"/>
      <c r="S571" s="2352"/>
      <c r="T571" s="2352"/>
      <c r="U571" s="2352"/>
      <c r="V571" s="2352"/>
      <c r="W571" s="2352"/>
      <c r="X571" s="2352"/>
      <c r="Y571" s="2352"/>
      <c r="Z571" s="2352"/>
      <c r="AA571" s="2352"/>
      <c r="AB571" s="2352"/>
      <c r="AC571" s="2352"/>
      <c r="AD571" s="2352"/>
      <c r="AE571" s="2352"/>
      <c r="AF571" s="2352"/>
      <c r="AG571" s="2352"/>
      <c r="AH571" s="2352"/>
      <c r="AI571" s="2352"/>
      <c r="AJ571" s="2352"/>
      <c r="AK571" s="481"/>
      <c r="AL571" s="1132"/>
      <c r="AM571" s="445"/>
    </row>
    <row r="572" spans="1:42" s="398" customFormat="1" ht="12.75" customHeight="1">
      <c r="B572" s="2352"/>
      <c r="C572" s="2352"/>
      <c r="D572" s="2352"/>
      <c r="E572" s="2352"/>
      <c r="F572" s="2352"/>
      <c r="G572" s="2352"/>
      <c r="H572" s="2352"/>
      <c r="I572" s="2352"/>
      <c r="J572" s="2352"/>
      <c r="K572" s="2352"/>
      <c r="L572" s="2352"/>
      <c r="M572" s="2352"/>
      <c r="N572" s="2352"/>
      <c r="O572" s="2352"/>
      <c r="P572" s="2352"/>
      <c r="Q572" s="2352"/>
      <c r="R572" s="2352"/>
      <c r="S572" s="2352"/>
      <c r="T572" s="2352"/>
      <c r="U572" s="2352"/>
      <c r="V572" s="2352"/>
      <c r="W572" s="2352"/>
      <c r="X572" s="2352"/>
      <c r="Y572" s="2352"/>
      <c r="Z572" s="2352"/>
      <c r="AA572" s="2352"/>
      <c r="AB572" s="2352"/>
      <c r="AC572" s="2352"/>
      <c r="AD572" s="2352"/>
      <c r="AE572" s="2352"/>
      <c r="AF572" s="2352"/>
      <c r="AG572" s="2352"/>
      <c r="AH572" s="2352"/>
      <c r="AI572" s="2352"/>
      <c r="AJ572" s="2352"/>
      <c r="AK572" s="481"/>
      <c r="AL572" s="1132"/>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132"/>
      <c r="AN573" s="439"/>
    </row>
    <row r="574" spans="1:42" s="398" customFormat="1" ht="12.75" customHeight="1">
      <c r="B574" s="500" t="s">
        <v>2468</v>
      </c>
      <c r="C574" s="508"/>
      <c r="D574" s="1132"/>
      <c r="E574" s="1132"/>
      <c r="F574" s="1132"/>
      <c r="G574" s="1132"/>
      <c r="H574" s="1132"/>
      <c r="I574" s="1132"/>
      <c r="J574" s="1132"/>
      <c r="K574" s="1132"/>
      <c r="L574" s="1132"/>
      <c r="M574" s="1132"/>
      <c r="N574" s="1132"/>
      <c r="O574" s="1132"/>
      <c r="P574" s="1132"/>
      <c r="Q574" s="1132"/>
      <c r="R574" s="1132"/>
      <c r="S574" s="1132"/>
      <c r="T574" s="1132"/>
      <c r="U574" s="1132"/>
      <c r="V574" s="1132"/>
      <c r="W574" s="1132"/>
      <c r="X574" s="1132"/>
      <c r="Y574" s="1132"/>
      <c r="Z574" s="1132"/>
      <c r="AA574" s="1132"/>
      <c r="AB574" s="1132"/>
      <c r="AC574" s="1132"/>
      <c r="AD574" s="1132"/>
      <c r="AE574" s="1132"/>
      <c r="AF574" s="1132"/>
      <c r="AG574" s="1132"/>
      <c r="AH574" s="1132"/>
      <c r="AI574" s="1132"/>
      <c r="AN574" s="439"/>
      <c r="AP574" s="398" t="s">
        <v>800</v>
      </c>
    </row>
    <row r="575" spans="1:42" s="398" customFormat="1" ht="12.75" customHeight="1">
      <c r="B575" s="385"/>
      <c r="C575" s="508"/>
      <c r="D575" s="1132"/>
      <c r="E575" s="1132"/>
      <c r="F575" s="1132"/>
      <c r="G575" s="1132"/>
      <c r="H575" s="1132"/>
      <c r="I575" s="1132"/>
      <c r="J575" s="1132"/>
      <c r="K575" s="1132"/>
      <c r="L575" s="1132"/>
      <c r="M575" s="1132"/>
      <c r="N575" s="1132"/>
      <c r="O575" s="1132"/>
      <c r="P575" s="1132"/>
      <c r="Q575" s="1132"/>
      <c r="R575" s="1132"/>
      <c r="S575" s="1132"/>
      <c r="T575" s="1132"/>
      <c r="U575" s="1132"/>
      <c r="V575" s="1132"/>
      <c r="W575" s="1132"/>
      <c r="X575" s="1132"/>
      <c r="Y575" s="1132"/>
      <c r="Z575" s="1132"/>
      <c r="AA575" s="1132"/>
      <c r="AB575" s="1132"/>
      <c r="AC575" s="1132"/>
      <c r="AD575" s="1132"/>
      <c r="AE575" s="1132"/>
      <c r="AF575" s="1132"/>
      <c r="AG575" s="1132"/>
      <c r="AH575" s="1132"/>
      <c r="AI575" s="1132"/>
      <c r="AN575" s="439"/>
      <c r="AP575" s="398" t="s">
        <v>847</v>
      </c>
    </row>
    <row r="576" spans="1:42" s="398" customFormat="1" ht="12.75" customHeight="1">
      <c r="C576" s="388" t="s">
        <v>2469</v>
      </c>
      <c r="D576" s="509"/>
      <c r="E576" s="1132"/>
      <c r="F576" s="1132"/>
      <c r="G576" s="1132"/>
      <c r="H576" s="1132"/>
      <c r="I576" s="1132"/>
      <c r="J576" s="1132"/>
      <c r="K576" s="1132"/>
      <c r="L576" s="1132"/>
      <c r="M576" s="1132"/>
      <c r="N576" s="1132"/>
      <c r="O576" s="1132"/>
      <c r="P576" s="1132"/>
      <c r="Q576" s="1132"/>
      <c r="R576" s="1132"/>
      <c r="S576" s="1132"/>
      <c r="T576" s="1132"/>
      <c r="U576" s="1132"/>
      <c r="V576" s="1132"/>
      <c r="W576" s="1132"/>
      <c r="X576" s="1132"/>
      <c r="Y576" s="1132"/>
      <c r="Z576" s="1132"/>
      <c r="AA576" s="1132"/>
      <c r="AB576" s="1132"/>
      <c r="AC576" s="1132"/>
      <c r="AD576" s="1132"/>
      <c r="AE576" s="1132"/>
      <c r="AF576" s="1132"/>
      <c r="AG576" s="1132"/>
      <c r="AH576" s="1132"/>
      <c r="AI576" s="1132"/>
      <c r="AN576" s="439"/>
    </row>
    <row r="577" spans="1:42" s="398" customFormat="1" ht="12.75" customHeight="1">
      <c r="B577" s="385"/>
      <c r="C577" s="385"/>
      <c r="D577" s="1122"/>
      <c r="E577" s="1125"/>
      <c r="F577" s="1125"/>
      <c r="G577" s="1125"/>
      <c r="H577" s="1125"/>
      <c r="I577" s="1125"/>
      <c r="J577" s="1125"/>
      <c r="K577" s="1125"/>
      <c r="L577" s="1125"/>
      <c r="M577" s="1125"/>
      <c r="N577" s="1125"/>
      <c r="O577" s="1125"/>
      <c r="P577" s="1125"/>
      <c r="Q577" s="1125"/>
      <c r="R577" s="1125"/>
      <c r="S577" s="1125"/>
      <c r="T577" s="1125"/>
      <c r="U577" s="1125"/>
      <c r="V577" s="1125"/>
      <c r="W577" s="1125"/>
      <c r="X577" s="1125"/>
      <c r="Y577" s="1125"/>
      <c r="Z577" s="1125"/>
      <c r="AA577" s="1125"/>
      <c r="AB577" s="1125"/>
      <c r="AC577" s="1125"/>
      <c r="AD577" s="1125"/>
      <c r="AE577" s="1125"/>
      <c r="AF577" s="385"/>
      <c r="AG577" s="385"/>
      <c r="AH577" s="385"/>
      <c r="AI577" s="385"/>
      <c r="AJ577" s="385"/>
      <c r="AK577" s="385"/>
      <c r="AL577" s="385"/>
      <c r="AN577" s="439"/>
    </row>
    <row r="578" spans="1:42" s="398" customFormat="1" ht="12.75" customHeight="1">
      <c r="B578" s="385"/>
      <c r="C578" s="385"/>
      <c r="D578" s="500" t="s">
        <v>22</v>
      </c>
      <c r="E578" s="663" t="s">
        <v>2470</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452" t="s">
        <v>2210</v>
      </c>
      <c r="AG578" s="2452"/>
      <c r="AH578" s="2452"/>
      <c r="AI578" s="2452"/>
      <c r="AJ578" s="2452"/>
      <c r="AK578" s="2452"/>
      <c r="AL578" s="2452"/>
      <c r="AN578" s="439"/>
    </row>
    <row r="579" spans="1:42" s="398" customFormat="1" ht="12.75" customHeight="1">
      <c r="B579" s="385"/>
      <c r="C579" s="456"/>
      <c r="D579" s="500"/>
      <c r="E579" s="663" t="s">
        <v>2471</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2472</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2473</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2474</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2475</v>
      </c>
      <c r="AP582" s="398" t="b">
        <f>IF(Application!AF418&gt;=25,TRUE,FALSE)</f>
        <v>1</v>
      </c>
    </row>
    <row r="583" spans="1:42" s="398" customFormat="1" ht="12.75" customHeight="1">
      <c r="B583" s="385"/>
      <c r="C583" s="456"/>
      <c r="D583" s="500"/>
      <c r="E583" s="663" t="s">
        <v>2476</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2477</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2478</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452" t="s">
        <v>2479</v>
      </c>
      <c r="AG585" s="2452"/>
      <c r="AH585" s="2452"/>
      <c r="AI585" s="2452"/>
      <c r="AJ585" s="2452"/>
      <c r="AK585" s="2452"/>
      <c r="AL585" s="2452"/>
      <c r="AN585" s="439"/>
    </row>
    <row r="586" spans="1:42" s="398" customFormat="1" ht="12.75" customHeight="1">
      <c r="B586" s="385"/>
      <c r="C586" s="737"/>
      <c r="D586" s="500"/>
      <c r="E586" s="663" t="s">
        <v>2480</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800</v>
      </c>
      <c r="AP586" s="510">
        <v>0</v>
      </c>
    </row>
    <row r="587" spans="1:42" s="398" customFormat="1" ht="12.75" customHeight="1">
      <c r="B587" s="451"/>
      <c r="C587" s="735"/>
      <c r="D587" s="500"/>
      <c r="E587" s="663" t="s">
        <v>2481</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7</v>
      </c>
    </row>
    <row r="588" spans="1:42" s="398" customFormat="1" ht="12.75" customHeight="1">
      <c r="B588" s="451"/>
      <c r="C588" s="735"/>
      <c r="D588" s="500"/>
      <c r="E588" s="663" t="s">
        <v>2482</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2483</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2484</v>
      </c>
      <c r="AP590" s="398">
        <v>4</v>
      </c>
    </row>
    <row r="591" spans="1:42" s="398" customFormat="1" ht="12.75" customHeight="1">
      <c r="B591" s="385"/>
      <c r="C591" s="735"/>
      <c r="D591" s="500" t="s">
        <v>49</v>
      </c>
      <c r="E591" s="663" t="s">
        <v>2485</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452" t="s">
        <v>2486</v>
      </c>
      <c r="AG591" s="2452"/>
      <c r="AH591" s="2452"/>
      <c r="AI591" s="2452"/>
      <c r="AJ591" s="2452"/>
      <c r="AK591" s="2452"/>
      <c r="AL591" s="2452"/>
      <c r="AN591" s="439"/>
      <c r="AO591" s="452" t="s">
        <v>2487</v>
      </c>
      <c r="AP591" s="398">
        <v>3</v>
      </c>
    </row>
    <row r="592" spans="1:42" s="398" customFormat="1" ht="12.75" customHeight="1">
      <c r="B592" s="385"/>
      <c r="C592" s="737"/>
      <c r="D592" s="500"/>
      <c r="E592" s="663" t="s">
        <v>2480</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2481</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2488</v>
      </c>
    </row>
    <row r="594" spans="1:53" s="398" customFormat="1" ht="12.75" customHeight="1">
      <c r="B594" s="385"/>
      <c r="C594" s="737"/>
      <c r="D594" s="500"/>
      <c r="E594" s="663" t="s">
        <v>2482</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2489</v>
      </c>
    </row>
    <row r="595" spans="1:53" s="398" customFormat="1" ht="12.75" customHeight="1">
      <c r="B595" s="385"/>
      <c r="C595" s="737"/>
      <c r="D595" s="500"/>
      <c r="E595" s="663" t="s">
        <v>2483</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2490</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2484</v>
      </c>
      <c r="E597" s="663" t="s">
        <v>2491</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452" t="s">
        <v>2492</v>
      </c>
      <c r="AG597" s="2452"/>
      <c r="AH597" s="2452"/>
      <c r="AI597" s="2452"/>
      <c r="AJ597" s="2452"/>
      <c r="AK597" s="2452"/>
      <c r="AL597" s="2452"/>
      <c r="AN597" s="439"/>
      <c r="AO597" s="398" t="str">
        <f>X634</f>
        <v>N/A</v>
      </c>
    </row>
    <row r="598" spans="1:53" s="398" customFormat="1" ht="12.75" customHeight="1">
      <c r="B598" s="385"/>
      <c r="C598" s="737"/>
      <c r="D598" s="500"/>
      <c r="E598" s="663" t="s">
        <v>2493</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118"/>
      <c r="AV598" s="1118"/>
      <c r="AW598" s="1118"/>
      <c r="AX598" s="1118"/>
      <c r="AY598" s="1118"/>
      <c r="AZ598" s="1118"/>
      <c r="BA598" s="1118"/>
    </row>
    <row r="599" spans="1:53" s="398" customFormat="1" ht="12.75" customHeight="1">
      <c r="B599" s="451"/>
      <c r="C599" s="735"/>
      <c r="D599" s="500"/>
      <c r="E599" s="663" t="s">
        <v>2494</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2495</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2496</v>
      </c>
    </row>
    <row r="601" spans="1:53" s="398" customFormat="1" ht="12.75" customHeight="1">
      <c r="B601" s="451"/>
      <c r="C601" s="735"/>
      <c r="D601" s="500"/>
      <c r="E601" s="385" t="s">
        <v>2497</v>
      </c>
      <c r="O601" s="2468" t="s">
        <v>1003</v>
      </c>
      <c r="P601" s="2468"/>
      <c r="Q601" s="2468"/>
      <c r="R601" s="2468"/>
      <c r="S601" s="2468"/>
      <c r="T601" s="2468"/>
      <c r="U601" s="2468"/>
      <c r="V601" s="2468"/>
      <c r="W601" s="2468"/>
      <c r="X601" s="2468"/>
      <c r="Y601" s="2468"/>
      <c r="Z601" s="2468"/>
      <c r="AA601" s="2468"/>
      <c r="AB601" s="2468"/>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2487</v>
      </c>
      <c r="E603" s="663" t="s">
        <v>2498</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452" t="s">
        <v>2226</v>
      </c>
      <c r="AG603" s="2452"/>
      <c r="AH603" s="2452"/>
      <c r="AI603" s="2452"/>
      <c r="AJ603" s="2452"/>
      <c r="AK603" s="2452"/>
      <c r="AL603" s="2452"/>
      <c r="AN603" s="439"/>
    </row>
    <row r="604" spans="1:53" s="398" customFormat="1" ht="12.75" customHeight="1">
      <c r="B604" s="385"/>
      <c r="C604" s="735"/>
      <c r="D604" s="500"/>
      <c r="E604" s="663" t="s">
        <v>2499</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118"/>
      <c r="AF604" s="385"/>
      <c r="AG604" s="385"/>
      <c r="AH604" s="385"/>
      <c r="AI604" s="385"/>
      <c r="AJ604" s="385"/>
      <c r="AK604" s="385"/>
      <c r="AL604" s="385"/>
      <c r="AN604" s="439"/>
    </row>
    <row r="605" spans="1:53" s="398" customFormat="1" ht="12.75" customHeight="1">
      <c r="B605" s="385"/>
      <c r="C605" s="737"/>
      <c r="D605" s="385"/>
      <c r="E605" s="456"/>
      <c r="F605" s="1137"/>
      <c r="G605" s="1137"/>
      <c r="H605" s="1137"/>
      <c r="I605" s="1137"/>
      <c r="J605" s="1137"/>
      <c r="K605" s="1137"/>
      <c r="L605" s="1137"/>
      <c r="M605" s="1137"/>
      <c r="N605" s="1137"/>
      <c r="O605" s="1137"/>
      <c r="P605" s="1137"/>
      <c r="Q605" s="1137"/>
      <c r="R605" s="1137"/>
      <c r="S605" s="1137"/>
      <c r="T605" s="1137"/>
      <c r="U605" s="1137"/>
      <c r="V605" s="1137"/>
      <c r="W605" s="1137"/>
      <c r="X605" s="1137"/>
      <c r="Y605" s="1137"/>
      <c r="Z605" s="1137"/>
      <c r="AA605" s="1137"/>
      <c r="AB605" s="1137"/>
      <c r="AC605" s="385"/>
      <c r="AD605" s="385"/>
      <c r="AE605" s="385"/>
      <c r="AF605" s="385"/>
      <c r="AG605" s="385"/>
      <c r="AH605" s="385"/>
      <c r="AI605" s="385"/>
      <c r="AJ605" s="385"/>
      <c r="AK605" s="385"/>
      <c r="AL605" s="385"/>
      <c r="AN605" s="439"/>
      <c r="AO605" s="398" t="s">
        <v>800</v>
      </c>
      <c r="AP605" s="510">
        <v>0</v>
      </c>
      <c r="AT605" s="398" t="s">
        <v>800</v>
      </c>
      <c r="AU605" s="510">
        <v>0</v>
      </c>
    </row>
    <row r="606" spans="1:53" s="398" customFormat="1" ht="12.75" customHeight="1">
      <c r="B606" s="385"/>
      <c r="C606" s="737"/>
      <c r="D606" s="385" t="s">
        <v>2500</v>
      </c>
      <c r="E606" s="1137"/>
      <c r="F606" s="1137"/>
      <c r="G606" s="1137"/>
      <c r="H606" s="2376" t="s">
        <v>2484</v>
      </c>
      <c r="I606" s="2376"/>
      <c r="J606" s="1137"/>
      <c r="K606" s="1137"/>
      <c r="L606" s="1137"/>
      <c r="N606" s="17"/>
      <c r="O606" s="17"/>
      <c r="P606" s="17"/>
      <c r="Q606" s="931" t="s">
        <v>2501</v>
      </c>
      <c r="R606" s="2469" t="s">
        <v>2488</v>
      </c>
      <c r="S606" s="2469"/>
      <c r="T606" s="2469"/>
      <c r="U606" s="2469"/>
      <c r="V606" s="2469"/>
      <c r="W606" s="2469"/>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137"/>
      <c r="F607" s="1137"/>
      <c r="G607" s="1137"/>
      <c r="H607" s="1137"/>
      <c r="I607" s="1137"/>
      <c r="J607" s="1137"/>
      <c r="K607" s="1137"/>
      <c r="L607" s="1137"/>
      <c r="M607" s="1137"/>
      <c r="N607" s="385"/>
      <c r="O607" s="385"/>
      <c r="P607" s="385"/>
      <c r="Q607" s="385"/>
      <c r="R607" s="385"/>
      <c r="S607" s="385"/>
      <c r="T607" s="385"/>
      <c r="U607" s="385"/>
      <c r="V607" s="385"/>
      <c r="W607" s="385"/>
      <c r="X607" s="385"/>
      <c r="Y607" s="2470" t="str">
        <f>IF(AND(H606="(i)",NOT(AP582)),AO599,IF(AND(H606="(iv)",OR(R606=AO595,R606=AO594),NOT(AP583)),AO600,""))</f>
        <v/>
      </c>
      <c r="Z607" s="2470"/>
      <c r="AA607" s="2470"/>
      <c r="AB607" s="2470"/>
      <c r="AC607" s="2470"/>
      <c r="AD607" s="2470"/>
      <c r="AE607" s="2470"/>
      <c r="AF607" s="2470"/>
      <c r="AG607" s="2470"/>
      <c r="AH607" s="2470"/>
      <c r="AI607" s="2470"/>
      <c r="AJ607" s="2470"/>
      <c r="AK607" s="2470"/>
      <c r="AL607" s="2470"/>
      <c r="AM607" s="2471"/>
      <c r="AN607" s="439"/>
      <c r="AO607" s="452" t="s">
        <v>27</v>
      </c>
      <c r="AP607" s="398">
        <v>2</v>
      </c>
      <c r="AT607" s="452" t="s">
        <v>27</v>
      </c>
      <c r="AU607" s="398">
        <v>2</v>
      </c>
    </row>
    <row r="608" spans="1:53" s="398" customFormat="1" ht="12.75" customHeight="1">
      <c r="B608" s="385"/>
      <c r="C608" s="737"/>
      <c r="D608" s="385"/>
      <c r="E608" s="1137"/>
      <c r="F608" s="1137"/>
      <c r="G608" s="1137"/>
      <c r="H608" s="1137"/>
      <c r="I608" s="1137"/>
      <c r="J608" s="1137"/>
      <c r="K608" s="1137"/>
      <c r="L608" s="1137"/>
      <c r="M608" s="1137"/>
      <c r="N608" s="385"/>
      <c r="O608" s="385"/>
      <c r="P608" s="385"/>
      <c r="Q608" s="385"/>
      <c r="X608" s="385"/>
      <c r="Y608" s="2470"/>
      <c r="Z608" s="2470"/>
      <c r="AA608" s="2470"/>
      <c r="AB608" s="2470"/>
      <c r="AC608" s="2470"/>
      <c r="AD608" s="2470"/>
      <c r="AE608" s="2470"/>
      <c r="AF608" s="2470"/>
      <c r="AG608" s="2470"/>
      <c r="AH608" s="2470"/>
      <c r="AI608" s="2470"/>
      <c r="AJ608" s="2470"/>
      <c r="AK608" s="2470"/>
      <c r="AL608" s="2470"/>
      <c r="AM608" s="2471"/>
      <c r="AN608" s="439"/>
      <c r="AO608" s="452"/>
      <c r="AT608" s="452"/>
    </row>
    <row r="609" spans="1:42" s="398" customFormat="1" ht="12.75" customHeight="1">
      <c r="B609" s="385"/>
      <c r="C609" s="737"/>
      <c r="D609" s="385" t="s">
        <v>2502</v>
      </c>
      <c r="E609" s="1137"/>
      <c r="F609" s="1137"/>
      <c r="G609" s="1137"/>
      <c r="H609" s="1137"/>
      <c r="I609" s="1137"/>
      <c r="J609" s="1137"/>
      <c r="K609" s="1137"/>
      <c r="L609" s="1137"/>
      <c r="M609" s="1137"/>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2503</v>
      </c>
      <c r="E610" s="1137"/>
      <c r="F610" s="1137"/>
      <c r="G610" s="1137"/>
      <c r="H610" s="1137"/>
      <c r="I610" s="1137"/>
      <c r="J610" s="1137"/>
      <c r="K610" s="1137"/>
      <c r="L610" s="1137"/>
      <c r="M610" s="1137"/>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2504</v>
      </c>
      <c r="E611" s="1137"/>
      <c r="F611" s="1137"/>
      <c r="G611" s="1137"/>
      <c r="H611" s="1137"/>
      <c r="I611" s="1137"/>
      <c r="J611" s="1137"/>
      <c r="K611" s="1137"/>
      <c r="L611" s="1137"/>
      <c r="M611" s="1137"/>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21" t="s">
        <v>2505</v>
      </c>
      <c r="E612" s="1137"/>
      <c r="F612" s="1137"/>
      <c r="G612" s="1137"/>
      <c r="H612" s="1137"/>
      <c r="I612" s="1137"/>
      <c r="J612" s="1137"/>
      <c r="K612" s="1137"/>
      <c r="L612" s="1137"/>
      <c r="M612" s="1137"/>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800</v>
      </c>
      <c r="AP613" s="510">
        <v>0</v>
      </c>
    </row>
    <row r="614" spans="1:42" s="398" customFormat="1" ht="12.75" customHeight="1">
      <c r="B614" s="385"/>
      <c r="C614" s="737"/>
      <c r="D614" s="385"/>
      <c r="E614" s="385" t="s">
        <v>2500</v>
      </c>
      <c r="F614" s="1137"/>
      <c r="G614" s="1137"/>
      <c r="I614" s="2467" t="s">
        <v>800</v>
      </c>
      <c r="J614" s="2467"/>
      <c r="K614" s="2467"/>
      <c r="L614" s="2467"/>
      <c r="M614" s="2467"/>
      <c r="N614" s="2467"/>
      <c r="O614" s="2467"/>
      <c r="P614" s="2467"/>
      <c r="Q614" s="2467"/>
      <c r="R614" s="2467"/>
      <c r="S614" s="2467"/>
      <c r="T614" s="2467"/>
      <c r="U614" s="2467"/>
      <c r="V614" s="2467"/>
      <c r="W614" s="2467"/>
      <c r="X614" s="2467"/>
      <c r="Y614" s="2467"/>
      <c r="Z614" s="2467"/>
      <c r="AA614" s="2467"/>
      <c r="AB614" s="2467"/>
      <c r="AC614" s="2467"/>
      <c r="AD614" s="2467"/>
      <c r="AE614" s="2467"/>
      <c r="AF614" s="385"/>
      <c r="AG614" s="385"/>
      <c r="AH614" s="385"/>
      <c r="AI614" s="385"/>
      <c r="AJ614" s="385"/>
      <c r="AK614" s="385"/>
      <c r="AL614" s="385"/>
      <c r="AN614" s="439"/>
      <c r="AO614" s="398" t="s">
        <v>2506</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2507</v>
      </c>
      <c r="AP615" s="398">
        <v>2</v>
      </c>
    </row>
    <row r="616" spans="1:42" s="398" customFormat="1" ht="12.75" customHeight="1">
      <c r="B616" s="2324" t="s">
        <v>800</v>
      </c>
      <c r="C616" s="2324"/>
      <c r="D616" s="481"/>
      <c r="E616" s="2352" t="s">
        <v>2508</v>
      </c>
      <c r="F616" s="2352"/>
      <c r="G616" s="2352"/>
      <c r="H616" s="2352"/>
      <c r="I616" s="2352"/>
      <c r="J616" s="2352"/>
      <c r="K616" s="2352"/>
      <c r="L616" s="2352"/>
      <c r="M616" s="2352"/>
      <c r="N616" s="2352"/>
      <c r="O616" s="2352"/>
      <c r="P616" s="2352"/>
      <c r="Q616" s="2352"/>
      <c r="R616" s="2352"/>
      <c r="S616" s="2352"/>
      <c r="T616" s="2352"/>
      <c r="U616" s="2352"/>
      <c r="V616" s="2352"/>
      <c r="W616" s="2352"/>
      <c r="X616" s="2352"/>
      <c r="Y616" s="2352"/>
      <c r="Z616" s="2352"/>
      <c r="AA616" s="2352"/>
      <c r="AB616" s="2352"/>
      <c r="AC616" s="2352"/>
      <c r="AD616" s="2352"/>
      <c r="AE616" s="2352"/>
      <c r="AF616" s="2352"/>
      <c r="AG616" s="2352"/>
      <c r="AH616" s="481"/>
      <c r="AI616" s="481"/>
      <c r="AJ616" s="481"/>
      <c r="AK616" s="481"/>
      <c r="AL616" s="481"/>
      <c r="AN616" s="439"/>
    </row>
    <row r="617" spans="1:42" s="398" customFormat="1" ht="12.75" customHeight="1">
      <c r="B617" s="385"/>
      <c r="C617" s="737"/>
      <c r="D617" s="481"/>
      <c r="E617" s="2352"/>
      <c r="F617" s="2352"/>
      <c r="G617" s="2352"/>
      <c r="H617" s="2352"/>
      <c r="I617" s="2352"/>
      <c r="J617" s="2352"/>
      <c r="K617" s="2352"/>
      <c r="L617" s="2352"/>
      <c r="M617" s="2352"/>
      <c r="N617" s="2352"/>
      <c r="O617" s="2352"/>
      <c r="P617" s="2352"/>
      <c r="Q617" s="2352"/>
      <c r="R617" s="2352"/>
      <c r="S617" s="2352"/>
      <c r="T617" s="2352"/>
      <c r="U617" s="2352"/>
      <c r="V617" s="2352"/>
      <c r="W617" s="2352"/>
      <c r="X617" s="2352"/>
      <c r="Y617" s="2352"/>
      <c r="Z617" s="2352"/>
      <c r="AA617" s="2352"/>
      <c r="AB617" s="2352"/>
      <c r="AC617" s="2352"/>
      <c r="AD617" s="2352"/>
      <c r="AE617" s="2352"/>
      <c r="AF617" s="2352"/>
      <c r="AG617" s="2352"/>
      <c r="AH617" s="481"/>
      <c r="AI617" s="481"/>
      <c r="AJ617" s="481"/>
      <c r="AK617" s="481"/>
      <c r="AL617" s="481"/>
      <c r="AN617" s="439"/>
    </row>
    <row r="618" spans="1:42" s="398" customFormat="1" ht="12.75" customHeight="1">
      <c r="B618" s="385"/>
      <c r="C618" s="737"/>
      <c r="D618" s="481"/>
      <c r="E618" s="2352"/>
      <c r="F618" s="2352"/>
      <c r="G618" s="2352"/>
      <c r="H618" s="2352"/>
      <c r="I618" s="2352"/>
      <c r="J618" s="2352"/>
      <c r="K618" s="2352"/>
      <c r="L618" s="2352"/>
      <c r="M618" s="2352"/>
      <c r="N618" s="2352"/>
      <c r="O618" s="2352"/>
      <c r="P618" s="2352"/>
      <c r="Q618" s="2352"/>
      <c r="R618" s="2352"/>
      <c r="S618" s="2352"/>
      <c r="T618" s="2352"/>
      <c r="U618" s="2352"/>
      <c r="V618" s="2352"/>
      <c r="W618" s="2352"/>
      <c r="X618" s="2352"/>
      <c r="Y618" s="2352"/>
      <c r="Z618" s="2352"/>
      <c r="AA618" s="2352"/>
      <c r="AB618" s="2352"/>
      <c r="AC618" s="2352"/>
      <c r="AD618" s="2352"/>
      <c r="AE618" s="2352"/>
      <c r="AF618" s="2352"/>
      <c r="AG618" s="2352"/>
      <c r="AH618" s="481"/>
      <c r="AI618" s="481"/>
      <c r="AJ618" s="481"/>
      <c r="AK618" s="481"/>
      <c r="AL618" s="481"/>
      <c r="AN618" s="439"/>
    </row>
    <row r="619" spans="1:42" s="398" customFormat="1" ht="12.75" customHeight="1">
      <c r="B619" s="385"/>
      <c r="C619" s="737"/>
      <c r="D619" s="481"/>
      <c r="E619" s="2352"/>
      <c r="F619" s="2352"/>
      <c r="G619" s="2352"/>
      <c r="H619" s="2352"/>
      <c r="I619" s="2352"/>
      <c r="J619" s="2352"/>
      <c r="K619" s="2352"/>
      <c r="L619" s="2352"/>
      <c r="M619" s="2352"/>
      <c r="N619" s="2352"/>
      <c r="O619" s="2352"/>
      <c r="P619" s="2352"/>
      <c r="Q619" s="2352"/>
      <c r="R619" s="2352"/>
      <c r="S619" s="2352"/>
      <c r="T619" s="2352"/>
      <c r="U619" s="2352"/>
      <c r="V619" s="2352"/>
      <c r="W619" s="2352"/>
      <c r="X619" s="2352"/>
      <c r="Y619" s="2352"/>
      <c r="Z619" s="2352"/>
      <c r="AA619" s="2352"/>
      <c r="AB619" s="2352"/>
      <c r="AC619" s="2352"/>
      <c r="AD619" s="2352"/>
      <c r="AE619" s="2352"/>
      <c r="AF619" s="2352"/>
      <c r="AG619" s="2352"/>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2509</v>
      </c>
      <c r="AJ621" s="2359">
        <f>VLOOKUP($H$606,$AO$586:$AP$591,2,FALSE)+IF(R606=AO594,0,VLOOKUP($I$614,$AO$613:$AP$615,2,FALSE))</f>
        <v>4</v>
      </c>
      <c r="AK621" s="2361"/>
      <c r="AL621" s="437"/>
      <c r="AM621" s="512"/>
      <c r="AN621" s="439"/>
    </row>
    <row r="622" spans="1:42" s="398" customFormat="1" ht="12.75" customHeight="1">
      <c r="B622" s="385"/>
      <c r="C622" s="737"/>
      <c r="D622" s="385"/>
      <c r="E622" s="1137"/>
      <c r="F622" s="1137"/>
      <c r="G622" s="1137"/>
      <c r="H622" s="1137"/>
      <c r="I622" s="1137"/>
      <c r="J622" s="1137"/>
      <c r="K622" s="1137"/>
      <c r="L622" s="1137"/>
      <c r="M622" s="1137"/>
      <c r="N622" s="1137"/>
      <c r="O622" s="1137"/>
      <c r="P622" s="1137"/>
      <c r="Q622" s="1137"/>
      <c r="R622" s="1137"/>
      <c r="S622" s="1137"/>
      <c r="T622" s="1137"/>
      <c r="U622" s="1137"/>
      <c r="V622" s="1137"/>
      <c r="W622" s="1137"/>
      <c r="X622" s="1137"/>
      <c r="Y622" s="1137"/>
      <c r="Z622" s="1137"/>
      <c r="AA622" s="1137"/>
      <c r="AB622" s="1137"/>
      <c r="AC622" s="385"/>
      <c r="AD622" s="385"/>
      <c r="AE622" s="1137"/>
      <c r="AF622" s="1137"/>
      <c r="AG622" s="1137"/>
      <c r="AH622" s="1137"/>
      <c r="AI622" s="1137"/>
      <c r="AJ622" s="1137"/>
      <c r="AK622" s="1137"/>
      <c r="AL622" s="1137"/>
      <c r="AM622" s="512"/>
      <c r="AN622" s="439"/>
    </row>
    <row r="623" spans="1:42" s="398" customFormat="1" ht="12.75" customHeight="1">
      <c r="B623" s="385"/>
      <c r="C623" s="388" t="s">
        <v>2510</v>
      </c>
      <c r="D623" s="388"/>
      <c r="E623" s="1137"/>
      <c r="F623" s="1137"/>
      <c r="G623" s="1137"/>
      <c r="H623" s="1137"/>
      <c r="I623" s="1137"/>
      <c r="J623" s="1137"/>
      <c r="K623" s="1137"/>
      <c r="L623" s="1137"/>
      <c r="M623" s="1137"/>
      <c r="N623" s="1137"/>
      <c r="O623" s="1137"/>
      <c r="P623" s="1137"/>
      <c r="Q623" s="1137"/>
      <c r="R623" s="1137"/>
      <c r="S623" s="1137"/>
      <c r="T623" s="1137"/>
      <c r="U623" s="1137"/>
      <c r="V623" s="1137"/>
      <c r="W623" s="1137"/>
      <c r="X623" s="1137"/>
      <c r="Y623" s="1137"/>
      <c r="Z623" s="1137"/>
      <c r="AA623" s="1137"/>
      <c r="AB623" s="1137"/>
      <c r="AC623" s="385"/>
      <c r="AD623" s="385"/>
      <c r="AE623" s="385"/>
      <c r="AF623" s="385"/>
      <c r="AG623" s="385"/>
      <c r="AH623" s="385"/>
      <c r="AI623" s="385"/>
      <c r="AJ623" s="385"/>
      <c r="AK623" s="385"/>
      <c r="AL623" s="385"/>
      <c r="AN623" s="439"/>
    </row>
    <row r="624" spans="1:42" s="398" customFormat="1" ht="12.75" customHeight="1">
      <c r="B624" s="451"/>
      <c r="C624" s="385"/>
      <c r="D624" s="739"/>
      <c r="E624" s="1137"/>
      <c r="F624" s="1137"/>
      <c r="G624" s="1137"/>
      <c r="H624" s="1137"/>
      <c r="I624" s="1137"/>
      <c r="J624" s="1137"/>
      <c r="K624" s="1137"/>
      <c r="L624" s="1137"/>
      <c r="M624" s="1137"/>
      <c r="N624" s="1137"/>
      <c r="O624" s="1137"/>
      <c r="P624" s="1137"/>
      <c r="Q624" s="1137"/>
      <c r="R624" s="1137"/>
      <c r="S624" s="1137"/>
      <c r="T624" s="1137"/>
      <c r="U624" s="1137"/>
      <c r="V624" s="1137"/>
      <c r="W624" s="1137"/>
      <c r="X624" s="1137"/>
      <c r="Y624" s="1137"/>
      <c r="Z624" s="1137"/>
      <c r="AA624" s="1137"/>
      <c r="AB624" s="1137"/>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66" t="s">
        <v>2511</v>
      </c>
      <c r="F625" s="2466"/>
      <c r="G625" s="2466"/>
      <c r="H625" s="2466"/>
      <c r="I625" s="2466"/>
      <c r="J625" s="2466"/>
      <c r="K625" s="2466"/>
      <c r="L625" s="2466"/>
      <c r="M625" s="2466"/>
      <c r="N625" s="2466"/>
      <c r="O625" s="2466"/>
      <c r="P625" s="2466"/>
      <c r="Q625" s="2466"/>
      <c r="R625" s="2466"/>
      <c r="S625" s="2466"/>
      <c r="T625" s="2466"/>
      <c r="U625" s="2466"/>
      <c r="V625" s="2466"/>
      <c r="W625" s="2466"/>
      <c r="X625" s="2466"/>
      <c r="Y625" s="2466"/>
      <c r="Z625" s="2466"/>
      <c r="AA625" s="2466"/>
      <c r="AB625" s="2466"/>
      <c r="AC625" s="2466"/>
      <c r="AD625" s="2466"/>
      <c r="AE625" s="388"/>
      <c r="AF625" s="2452" t="s">
        <v>2226</v>
      </c>
      <c r="AG625" s="2452"/>
      <c r="AH625" s="2452"/>
      <c r="AI625" s="2452"/>
      <c r="AJ625" s="2452"/>
      <c r="AK625" s="2452"/>
      <c r="AL625" s="2452"/>
      <c r="AM625" s="398"/>
      <c r="AN625" s="515"/>
    </row>
    <row r="626" spans="1:42" s="398" customFormat="1" ht="12.75" customHeight="1">
      <c r="A626" s="1135"/>
      <c r="B626" s="385"/>
      <c r="C626" s="737"/>
      <c r="D626" s="500"/>
      <c r="E626" s="2466"/>
      <c r="F626" s="2466"/>
      <c r="G626" s="2466"/>
      <c r="H626" s="2466"/>
      <c r="I626" s="2466"/>
      <c r="J626" s="2466"/>
      <c r="K626" s="2466"/>
      <c r="L626" s="2466"/>
      <c r="M626" s="2466"/>
      <c r="N626" s="2466"/>
      <c r="O626" s="2466"/>
      <c r="P626" s="2466"/>
      <c r="Q626" s="2466"/>
      <c r="R626" s="2466"/>
      <c r="S626" s="2466"/>
      <c r="T626" s="2466"/>
      <c r="U626" s="2466"/>
      <c r="V626" s="2466"/>
      <c r="W626" s="2466"/>
      <c r="X626" s="2466"/>
      <c r="Y626" s="2466"/>
      <c r="Z626" s="2466"/>
      <c r="AA626" s="2466"/>
      <c r="AB626" s="2466"/>
      <c r="AC626" s="2466"/>
      <c r="AD626" s="2466"/>
      <c r="AE626" s="385"/>
      <c r="AF626" s="385"/>
      <c r="AG626" s="385"/>
      <c r="AH626" s="385"/>
      <c r="AI626" s="385"/>
      <c r="AJ626" s="385"/>
      <c r="AK626" s="385"/>
      <c r="AL626" s="385"/>
      <c r="AN626" s="439"/>
    </row>
    <row r="627" spans="1:42" s="398" customFormat="1" ht="12.75" customHeight="1">
      <c r="B627" s="385"/>
      <c r="C627" s="735"/>
      <c r="D627" s="500"/>
      <c r="E627" s="2466"/>
      <c r="F627" s="2466"/>
      <c r="G627" s="2466"/>
      <c r="H627" s="2466"/>
      <c r="I627" s="2466"/>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385"/>
      <c r="AF627" s="385"/>
      <c r="AG627" s="385"/>
      <c r="AH627" s="385"/>
      <c r="AI627" s="385"/>
      <c r="AJ627" s="385"/>
      <c r="AK627" s="385"/>
      <c r="AL627" s="385"/>
      <c r="AN627" s="439"/>
    </row>
    <row r="628" spans="1:42" s="398" customFormat="1" ht="12.75" customHeight="1">
      <c r="B628" s="385"/>
      <c r="C628" s="735"/>
      <c r="D628" s="500"/>
      <c r="E628" s="2466"/>
      <c r="F628" s="2466"/>
      <c r="G628" s="2466"/>
      <c r="H628" s="2466"/>
      <c r="I628" s="2466"/>
      <c r="J628" s="2466"/>
      <c r="K628" s="2466"/>
      <c r="L628" s="2466"/>
      <c r="M628" s="2466"/>
      <c r="N628" s="2466"/>
      <c r="O628" s="2466"/>
      <c r="P628" s="2466"/>
      <c r="Q628" s="2466"/>
      <c r="R628" s="2466"/>
      <c r="S628" s="2466"/>
      <c r="T628" s="2466"/>
      <c r="U628" s="2466"/>
      <c r="V628" s="2466"/>
      <c r="W628" s="2466"/>
      <c r="X628" s="2466"/>
      <c r="Y628" s="2466"/>
      <c r="Z628" s="2466"/>
      <c r="AA628" s="2466"/>
      <c r="AB628" s="2466"/>
      <c r="AC628" s="2466"/>
      <c r="AD628" s="2466"/>
      <c r="AE628" s="385"/>
      <c r="AF628" s="385"/>
      <c r="AG628" s="385"/>
      <c r="AH628" s="385"/>
      <c r="AI628" s="385"/>
      <c r="AJ628" s="385"/>
      <c r="AK628" s="385"/>
      <c r="AL628" s="385"/>
      <c r="AN628" s="439"/>
    </row>
    <row r="629" spans="1:42" s="398" customFormat="1" ht="12.75" customHeight="1">
      <c r="B629" s="385"/>
      <c r="C629" s="735"/>
      <c r="D629" s="500"/>
      <c r="E629" s="2466"/>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385"/>
      <c r="AF629" s="385"/>
      <c r="AG629" s="385"/>
      <c r="AH629" s="385"/>
      <c r="AI629" s="385"/>
      <c r="AJ629" s="385"/>
      <c r="AK629" s="385"/>
      <c r="AL629" s="385"/>
      <c r="AN629" s="439"/>
    </row>
    <row r="630" spans="1:42" s="398" customFormat="1" ht="12.75" customHeight="1">
      <c r="B630" s="385"/>
      <c r="C630" s="735"/>
      <c r="D630" s="500"/>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385"/>
      <c r="AF630" s="385"/>
      <c r="AG630" s="385"/>
      <c r="AH630" s="385"/>
      <c r="AI630" s="385"/>
      <c r="AJ630" s="385"/>
      <c r="AK630" s="385"/>
      <c r="AL630" s="385"/>
      <c r="AN630" s="439"/>
    </row>
    <row r="631" spans="1:42" s="398" customFormat="1" ht="12.75" customHeight="1">
      <c r="A631" s="477"/>
      <c r="B631" s="456"/>
      <c r="C631" s="743"/>
      <c r="D631" s="500"/>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456"/>
      <c r="AF631" s="456"/>
      <c r="AG631" s="456"/>
      <c r="AH631" s="456"/>
      <c r="AI631" s="456"/>
      <c r="AJ631" s="456"/>
      <c r="AK631" s="385"/>
      <c r="AL631" s="385"/>
      <c r="AN631" s="439"/>
    </row>
    <row r="632" spans="1:42" s="398" customFormat="1" ht="12.75" customHeight="1">
      <c r="B632" s="456"/>
      <c r="C632" s="743"/>
      <c r="D632" s="500"/>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456"/>
      <c r="AF632" s="456"/>
      <c r="AG632" s="456"/>
      <c r="AH632" s="456"/>
      <c r="AI632" s="456"/>
      <c r="AJ632" s="456"/>
      <c r="AK632" s="385"/>
      <c r="AL632" s="385"/>
      <c r="AN632" s="439"/>
    </row>
    <row r="633" spans="1:42" s="398" customFormat="1" ht="12" customHeight="1">
      <c r="B633" s="456"/>
      <c r="C633" s="743"/>
      <c r="D633" s="500"/>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c r="AA633" s="1134"/>
      <c r="AB633" s="1134"/>
      <c r="AC633" s="1134"/>
      <c r="AD633" s="1134"/>
      <c r="AE633" s="456"/>
      <c r="AF633" s="456"/>
      <c r="AG633" s="456"/>
      <c r="AH633" s="456"/>
      <c r="AI633" s="456"/>
      <c r="AJ633" s="456"/>
      <c r="AK633" s="385"/>
      <c r="AL633" s="385"/>
      <c r="AN633" s="439"/>
      <c r="AO633" s="398" t="s">
        <v>800</v>
      </c>
      <c r="AP633" s="510">
        <v>0</v>
      </c>
    </row>
    <row r="634" spans="1:42" s="398" customFormat="1" ht="12.75" customHeight="1">
      <c r="B634" s="456"/>
      <c r="C634" s="735"/>
      <c r="D634" s="500"/>
      <c r="E634" s="456" t="s">
        <v>2512</v>
      </c>
      <c r="F634" s="744"/>
      <c r="G634" s="744"/>
      <c r="H634" s="744"/>
      <c r="I634" s="744"/>
      <c r="J634" s="744"/>
      <c r="K634" s="744"/>
      <c r="L634" s="744"/>
      <c r="M634" s="744"/>
      <c r="N634" s="744"/>
      <c r="O634" s="744"/>
      <c r="P634" s="744"/>
      <c r="Q634" s="744"/>
      <c r="R634" s="744"/>
      <c r="U634" s="744"/>
      <c r="V634" s="744"/>
      <c r="W634" s="744"/>
      <c r="X634" s="2324" t="s">
        <v>800</v>
      </c>
      <c r="Y634" s="2324"/>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2513</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452" t="s">
        <v>2514</v>
      </c>
      <c r="AG636" s="2452"/>
      <c r="AH636" s="2452"/>
      <c r="AI636" s="2452"/>
      <c r="AJ636" s="2452"/>
      <c r="AK636" s="2452"/>
      <c r="AL636" s="2452"/>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2484</v>
      </c>
      <c r="AP637" s="516">
        <v>4</v>
      </c>
    </row>
    <row r="638" spans="1:42" s="398" customFormat="1" ht="12.75" customHeight="1">
      <c r="B638" s="385"/>
      <c r="C638" s="735"/>
      <c r="D638" s="385" t="s">
        <v>2500</v>
      </c>
      <c r="E638" s="1137"/>
      <c r="F638" s="1137"/>
      <c r="G638" s="1137"/>
      <c r="H638" s="2376" t="s">
        <v>22</v>
      </c>
      <c r="I638" s="2376"/>
      <c r="J638" s="745"/>
      <c r="K638" s="745"/>
      <c r="L638" s="745"/>
      <c r="M638" s="745"/>
      <c r="N638" s="745"/>
      <c r="O638" s="745"/>
      <c r="P638" s="745"/>
      <c r="Q638" s="745"/>
      <c r="R638" s="745"/>
      <c r="S638" s="745"/>
      <c r="T638" s="745"/>
      <c r="U638" s="1137"/>
      <c r="V638" s="1137"/>
      <c r="W638" s="1137"/>
      <c r="X638" s="385"/>
      <c r="Y638" s="385"/>
      <c r="Z638" s="385"/>
      <c r="AA638" s="385"/>
      <c r="AB638" s="385"/>
      <c r="AC638" s="385"/>
      <c r="AD638" s="385"/>
      <c r="AE638" s="385"/>
      <c r="AF638" s="385"/>
      <c r="AG638" s="385"/>
      <c r="AH638" s="385"/>
      <c r="AI638" s="385"/>
      <c r="AJ638" s="385"/>
      <c r="AK638" s="385"/>
      <c r="AL638" s="385"/>
      <c r="AN638" s="439"/>
      <c r="AO638" s="452" t="s">
        <v>2487</v>
      </c>
      <c r="AP638" s="398">
        <v>3</v>
      </c>
    </row>
    <row r="639" spans="1:42" s="398" customFormat="1" ht="12.75" customHeight="1">
      <c r="B639" s="385"/>
      <c r="C639" s="735"/>
      <c r="D639" s="385"/>
      <c r="E639" s="1137"/>
      <c r="F639" s="745"/>
      <c r="G639" s="745"/>
      <c r="H639" s="745"/>
      <c r="I639" s="746"/>
      <c r="J639" s="745"/>
      <c r="K639" s="745"/>
      <c r="L639" s="745"/>
      <c r="M639" s="745"/>
      <c r="N639" s="745"/>
      <c r="O639" s="745"/>
      <c r="P639" s="745"/>
      <c r="Q639" s="745"/>
      <c r="R639" s="385"/>
      <c r="S639" s="385"/>
      <c r="T639" s="745"/>
      <c r="U639" s="1137"/>
      <c r="V639" s="1137"/>
      <c r="W639" s="1137"/>
      <c r="X639" s="1137"/>
      <c r="Y639" s="1137"/>
      <c r="Z639" s="1137"/>
      <c r="AA639" s="1137"/>
      <c r="AB639" s="1137"/>
      <c r="AC639" s="385"/>
      <c r="AD639" s="385"/>
      <c r="AE639" s="385"/>
      <c r="AF639" s="385"/>
      <c r="AG639" s="385"/>
      <c r="AH639" s="385"/>
      <c r="AI639" s="745"/>
      <c r="AJ639" s="745"/>
      <c r="AK639" s="745"/>
      <c r="AL639" s="745"/>
      <c r="AM639" s="517"/>
      <c r="AN639" s="439"/>
      <c r="AO639" s="452" t="s">
        <v>2515</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2516</v>
      </c>
      <c r="AJ640" s="2359">
        <f>VLOOKUP($H$638,$AO$605:$AP$607,2,FALSE)</f>
        <v>3</v>
      </c>
      <c r="AK640" s="2361"/>
      <c r="AL640" s="437"/>
      <c r="AN640" s="439"/>
      <c r="AO640" s="452" t="s">
        <v>2517</v>
      </c>
      <c r="AP640" s="398">
        <v>1</v>
      </c>
    </row>
    <row r="641" spans="1:42" s="398" customFormat="1" ht="12.75" customHeight="1">
      <c r="B641" s="385"/>
      <c r="C641" s="735"/>
      <c r="D641" s="385"/>
      <c r="E641" s="1137"/>
      <c r="F641" s="1137"/>
      <c r="G641" s="1137"/>
      <c r="H641" s="385"/>
      <c r="I641" s="385"/>
      <c r="J641" s="745"/>
      <c r="K641" s="745"/>
      <c r="L641" s="745"/>
      <c r="M641" s="745"/>
      <c r="N641" s="745"/>
      <c r="O641" s="745"/>
      <c r="P641" s="745"/>
      <c r="Q641" s="745"/>
      <c r="R641" s="745"/>
      <c r="S641" s="745"/>
      <c r="T641" s="745"/>
      <c r="U641" s="1137"/>
      <c r="V641" s="1137"/>
      <c r="W641" s="1137"/>
      <c r="X641" s="1137"/>
      <c r="Y641" s="1137"/>
      <c r="Z641" s="1137"/>
      <c r="AA641" s="1137"/>
      <c r="AB641" s="1137"/>
      <c r="AC641" s="385"/>
      <c r="AD641" s="385"/>
      <c r="AE641" s="385"/>
      <c r="AF641" s="385"/>
      <c r="AG641" s="385"/>
      <c r="AH641" s="385"/>
      <c r="AI641" s="385"/>
      <c r="AJ641" s="1112"/>
      <c r="AK641" s="385"/>
      <c r="AL641" s="385"/>
      <c r="AN641" s="439"/>
    </row>
    <row r="642" spans="1:42" s="398" customFormat="1" ht="12.75" customHeight="1">
      <c r="B642" s="385"/>
      <c r="C642" s="388" t="s">
        <v>2518</v>
      </c>
      <c r="D642" s="385"/>
      <c r="E642" s="1137"/>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118"/>
      <c r="AD642" s="1118"/>
      <c r="AE642" s="1118"/>
      <c r="AF642" s="1118"/>
      <c r="AG642" s="1118"/>
      <c r="AH642" s="1118"/>
      <c r="AI642" s="1118"/>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352" t="s">
        <v>2519</v>
      </c>
      <c r="F644" s="2352"/>
      <c r="G644" s="2352"/>
      <c r="H644" s="2352"/>
      <c r="I644" s="2352"/>
      <c r="J644" s="2352"/>
      <c r="K644" s="2352"/>
      <c r="L644" s="2352"/>
      <c r="M644" s="2352"/>
      <c r="N644" s="2352"/>
      <c r="O644" s="2352"/>
      <c r="P644" s="2352"/>
      <c r="Q644" s="2352"/>
      <c r="R644" s="2352"/>
      <c r="S644" s="2352"/>
      <c r="T644" s="2352"/>
      <c r="U644" s="2352"/>
      <c r="V644" s="2352"/>
      <c r="W644" s="2352"/>
      <c r="X644" s="2352"/>
      <c r="Y644" s="2352"/>
      <c r="Z644" s="2352"/>
      <c r="AA644" s="2352"/>
      <c r="AB644" s="2352"/>
      <c r="AC644" s="2352"/>
      <c r="AD644" s="2352"/>
      <c r="AE644" s="385"/>
      <c r="AF644" s="2452" t="s">
        <v>2226</v>
      </c>
      <c r="AG644" s="2452"/>
      <c r="AH644" s="2452"/>
      <c r="AI644" s="2452"/>
      <c r="AJ644" s="2452"/>
      <c r="AK644" s="2452"/>
      <c r="AL644" s="2452"/>
      <c r="AN644" s="439"/>
    </row>
    <row r="645" spans="1:42" s="398" customFormat="1" ht="12.75" customHeight="1">
      <c r="B645" s="385"/>
      <c r="C645" s="385"/>
      <c r="D645" s="500"/>
      <c r="E645" s="2352"/>
      <c r="F645" s="2352"/>
      <c r="G645" s="2352"/>
      <c r="H645" s="2352"/>
      <c r="I645" s="2352"/>
      <c r="J645" s="2352"/>
      <c r="K645" s="2352"/>
      <c r="L645" s="2352"/>
      <c r="M645" s="2352"/>
      <c r="N645" s="2352"/>
      <c r="O645" s="2352"/>
      <c r="P645" s="2352"/>
      <c r="Q645" s="2352"/>
      <c r="R645" s="2352"/>
      <c r="S645" s="2352"/>
      <c r="T645" s="2352"/>
      <c r="U645" s="2352"/>
      <c r="V645" s="2352"/>
      <c r="W645" s="2352"/>
      <c r="X645" s="2352"/>
      <c r="Y645" s="2352"/>
      <c r="Z645" s="2352"/>
      <c r="AA645" s="2352"/>
      <c r="AB645" s="2352"/>
      <c r="AC645" s="2352"/>
      <c r="AD645" s="2352"/>
      <c r="AE645" s="1118"/>
      <c r="AF645" s="1118"/>
      <c r="AG645" s="1118"/>
      <c r="AH645" s="1118"/>
      <c r="AI645" s="1118"/>
      <c r="AJ645" s="1118"/>
      <c r="AK645" s="1118"/>
      <c r="AL645" s="1118"/>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2520</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452" t="s">
        <v>2514</v>
      </c>
      <c r="AG647" s="2452"/>
      <c r="AH647" s="2452"/>
      <c r="AI647" s="2452"/>
      <c r="AJ647" s="2452"/>
      <c r="AK647" s="2452"/>
      <c r="AL647" s="2452"/>
      <c r="AN647" s="439"/>
    </row>
    <row r="648" spans="1:42" s="398" customFormat="1" ht="12.75" customHeight="1">
      <c r="B648" s="385"/>
      <c r="C648" s="735"/>
      <c r="D648" s="500"/>
      <c r="E648" s="456" t="s">
        <v>2521</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118"/>
      <c r="AF648" s="1118"/>
      <c r="AG648" s="1118"/>
      <c r="AH648" s="1118"/>
      <c r="AI648" s="1118"/>
      <c r="AJ648" s="1118"/>
      <c r="AK648" s="1118"/>
      <c r="AL648" s="1118"/>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2500</v>
      </c>
      <c r="E650" s="1137"/>
      <c r="F650" s="1137"/>
      <c r="G650" s="1137"/>
      <c r="H650" s="2376" t="s">
        <v>800</v>
      </c>
      <c r="I650" s="2376"/>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137"/>
      <c r="F651" s="1137"/>
      <c r="G651" s="456"/>
      <c r="H651" s="456"/>
      <c r="I651" s="456"/>
      <c r="J651" s="456"/>
      <c r="K651" s="456"/>
      <c r="L651" s="456"/>
      <c r="M651" s="456"/>
      <c r="N651" s="456"/>
      <c r="O651" s="456"/>
      <c r="P651" s="456"/>
      <c r="Q651" s="456"/>
      <c r="R651" s="456"/>
      <c r="S651" s="456"/>
      <c r="T651" s="456"/>
      <c r="U651" s="456"/>
      <c r="V651" s="456"/>
      <c r="W651" s="456"/>
      <c r="X651" s="456"/>
      <c r="Y651" s="456"/>
      <c r="Z651" s="1137"/>
      <c r="AA651" s="1137"/>
      <c r="AB651" s="1137"/>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2522</v>
      </c>
      <c r="AJ652" s="2359">
        <f>VLOOKUP(H650,AT605:AU607,2,FALSE)</f>
        <v>0</v>
      </c>
      <c r="AK652" s="2361"/>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2523</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2524</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2352" t="s">
        <v>2525</v>
      </c>
      <c r="F657" s="2352"/>
      <c r="G657" s="2352"/>
      <c r="H657" s="2352"/>
      <c r="I657" s="2352"/>
      <c r="J657" s="2352"/>
      <c r="K657" s="2352"/>
      <c r="L657" s="2352"/>
      <c r="M657" s="2352"/>
      <c r="N657" s="2352"/>
      <c r="O657" s="2352"/>
      <c r="P657" s="2352"/>
      <c r="Q657" s="2352"/>
      <c r="R657" s="2352"/>
      <c r="S657" s="2352"/>
      <c r="T657" s="2352"/>
      <c r="U657" s="2352"/>
      <c r="V657" s="2352"/>
      <c r="W657" s="2352"/>
      <c r="X657" s="2352"/>
      <c r="Y657" s="2352"/>
      <c r="Z657" s="2352"/>
      <c r="AA657" s="2352"/>
      <c r="AB657" s="2352"/>
      <c r="AC657" s="2352"/>
      <c r="AD657" s="385"/>
      <c r="AE657" s="385"/>
      <c r="AF657" s="2452" t="s">
        <v>2486</v>
      </c>
      <c r="AG657" s="2452"/>
      <c r="AH657" s="2452"/>
      <c r="AI657" s="2452"/>
      <c r="AJ657" s="2452"/>
      <c r="AK657" s="2452"/>
      <c r="AL657" s="2452"/>
      <c r="AN657" s="439"/>
    </row>
    <row r="658" spans="1:42" s="398" customFormat="1" ht="12.75" customHeight="1">
      <c r="B658" s="385"/>
      <c r="C658" s="388"/>
      <c r="D658" s="385"/>
      <c r="E658" s="2352"/>
      <c r="F658" s="2352"/>
      <c r="G658" s="2352"/>
      <c r="H658" s="2352"/>
      <c r="I658" s="2352"/>
      <c r="J658" s="2352"/>
      <c r="K658" s="2352"/>
      <c r="L658" s="2352"/>
      <c r="M658" s="2352"/>
      <c r="N658" s="2352"/>
      <c r="O658" s="2352"/>
      <c r="P658" s="2352"/>
      <c r="Q658" s="2352"/>
      <c r="R658" s="2352"/>
      <c r="S658" s="2352"/>
      <c r="T658" s="2352"/>
      <c r="U658" s="2352"/>
      <c r="V658" s="2352"/>
      <c r="W658" s="2352"/>
      <c r="X658" s="2352"/>
      <c r="Y658" s="2352"/>
      <c r="Z658" s="2352"/>
      <c r="AA658" s="2352"/>
      <c r="AB658" s="2352"/>
      <c r="AC658" s="2352"/>
      <c r="AD658" s="385"/>
      <c r="AE658" s="385"/>
      <c r="AF658" s="385"/>
      <c r="AG658" s="385"/>
      <c r="AH658" s="385"/>
      <c r="AI658" s="385"/>
      <c r="AJ658" s="385"/>
      <c r="AK658" s="385"/>
      <c r="AL658" s="385"/>
      <c r="AN658" s="439"/>
    </row>
    <row r="659" spans="1:42" s="398" customFormat="1" ht="12.75" customHeight="1">
      <c r="B659" s="385"/>
      <c r="C659" s="388"/>
      <c r="D659" s="500"/>
      <c r="E659" s="2352"/>
      <c r="F659" s="2352"/>
      <c r="G659" s="2352"/>
      <c r="H659" s="2352"/>
      <c r="I659" s="2352"/>
      <c r="J659" s="2352"/>
      <c r="K659" s="2352"/>
      <c r="L659" s="2352"/>
      <c r="M659" s="2352"/>
      <c r="N659" s="2352"/>
      <c r="O659" s="2352"/>
      <c r="P659" s="2352"/>
      <c r="Q659" s="2352"/>
      <c r="R659" s="2352"/>
      <c r="S659" s="2352"/>
      <c r="T659" s="2352"/>
      <c r="U659" s="2352"/>
      <c r="V659" s="2352"/>
      <c r="W659" s="2352"/>
      <c r="X659" s="2352"/>
      <c r="Y659" s="2352"/>
      <c r="Z659" s="2352"/>
      <c r="AA659" s="2352"/>
      <c r="AB659" s="2352"/>
      <c r="AC659" s="2352"/>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2352" t="s">
        <v>2526</v>
      </c>
      <c r="F661" s="2352"/>
      <c r="G661" s="2352"/>
      <c r="H661" s="2352"/>
      <c r="I661" s="2352"/>
      <c r="J661" s="2352"/>
      <c r="K661" s="2352"/>
      <c r="L661" s="2352"/>
      <c r="M661" s="2352"/>
      <c r="N661" s="2352"/>
      <c r="O661" s="2352"/>
      <c r="P661" s="2352"/>
      <c r="Q661" s="2352"/>
      <c r="R661" s="2352"/>
      <c r="S661" s="2352"/>
      <c r="T661" s="2352"/>
      <c r="U661" s="2352"/>
      <c r="V661" s="2352"/>
      <c r="W661" s="2352"/>
      <c r="X661" s="2352"/>
      <c r="Y661" s="2352"/>
      <c r="Z661" s="2352"/>
      <c r="AA661" s="2352"/>
      <c r="AB661" s="2352"/>
      <c r="AC661" s="2352"/>
      <c r="AD661" s="385"/>
      <c r="AE661" s="385"/>
      <c r="AF661" s="2452" t="s">
        <v>2492</v>
      </c>
      <c r="AG661" s="2452"/>
      <c r="AH661" s="2452"/>
      <c r="AI661" s="2452"/>
      <c r="AJ661" s="2452"/>
      <c r="AK661" s="2452"/>
      <c r="AL661" s="2452"/>
      <c r="AN661" s="439"/>
    </row>
    <row r="662" spans="1:42" s="398" customFormat="1" ht="12.75" customHeight="1">
      <c r="B662" s="385"/>
      <c r="C662" s="388"/>
      <c r="D662" s="385"/>
      <c r="E662" s="2352"/>
      <c r="F662" s="2352"/>
      <c r="G662" s="2352"/>
      <c r="H662" s="2352"/>
      <c r="I662" s="2352"/>
      <c r="J662" s="2352"/>
      <c r="K662" s="2352"/>
      <c r="L662" s="2352"/>
      <c r="M662" s="2352"/>
      <c r="N662" s="2352"/>
      <c r="O662" s="2352"/>
      <c r="P662" s="2352"/>
      <c r="Q662" s="2352"/>
      <c r="R662" s="2352"/>
      <c r="S662" s="2352"/>
      <c r="T662" s="2352"/>
      <c r="U662" s="2352"/>
      <c r="V662" s="2352"/>
      <c r="W662" s="2352"/>
      <c r="X662" s="2352"/>
      <c r="Y662" s="2352"/>
      <c r="Z662" s="2352"/>
      <c r="AA662" s="2352"/>
      <c r="AB662" s="2352"/>
      <c r="AC662" s="2352"/>
      <c r="AD662" s="385"/>
      <c r="AE662" s="385"/>
      <c r="AF662" s="385"/>
      <c r="AG662" s="385"/>
      <c r="AH662" s="385"/>
      <c r="AI662" s="385"/>
      <c r="AJ662" s="385"/>
      <c r="AK662" s="385"/>
      <c r="AL662" s="385"/>
      <c r="AN662" s="439"/>
    </row>
    <row r="663" spans="1:42" s="398" customFormat="1" ht="15" customHeight="1">
      <c r="B663" s="385"/>
      <c r="C663" s="388"/>
      <c r="D663" s="500"/>
      <c r="E663" s="2352"/>
      <c r="F663" s="2352"/>
      <c r="G663" s="2352"/>
      <c r="H663" s="2352"/>
      <c r="I663" s="2352"/>
      <c r="J663" s="2352"/>
      <c r="K663" s="2352"/>
      <c r="L663" s="2352"/>
      <c r="M663" s="2352"/>
      <c r="N663" s="2352"/>
      <c r="O663" s="2352"/>
      <c r="P663" s="2352"/>
      <c r="Q663" s="2352"/>
      <c r="R663" s="2352"/>
      <c r="S663" s="2352"/>
      <c r="T663" s="2352"/>
      <c r="U663" s="2352"/>
      <c r="V663" s="2352"/>
      <c r="W663" s="2352"/>
      <c r="X663" s="2352"/>
      <c r="Y663" s="2352"/>
      <c r="Z663" s="2352"/>
      <c r="AA663" s="2352"/>
      <c r="AB663" s="2352"/>
      <c r="AC663" s="2352"/>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2352" t="s">
        <v>2527</v>
      </c>
      <c r="F665" s="2352"/>
      <c r="G665" s="2352"/>
      <c r="H665" s="2352"/>
      <c r="I665" s="2352"/>
      <c r="J665" s="2352"/>
      <c r="K665" s="2352"/>
      <c r="L665" s="2352"/>
      <c r="M665" s="2352"/>
      <c r="N665" s="2352"/>
      <c r="O665" s="2352"/>
      <c r="P665" s="2352"/>
      <c r="Q665" s="2352"/>
      <c r="R665" s="2352"/>
      <c r="S665" s="2352"/>
      <c r="T665" s="2352"/>
      <c r="U665" s="2352"/>
      <c r="V665" s="2352"/>
      <c r="W665" s="2352"/>
      <c r="X665" s="2352"/>
      <c r="Y665" s="2352"/>
      <c r="Z665" s="2352"/>
      <c r="AA665" s="2352"/>
      <c r="AB665" s="2352"/>
      <c r="AC665" s="2352"/>
      <c r="AD665" s="385"/>
      <c r="AE665" s="385"/>
      <c r="AF665" s="2452" t="s">
        <v>2226</v>
      </c>
      <c r="AG665" s="2452"/>
      <c r="AH665" s="2452"/>
      <c r="AI665" s="2452"/>
      <c r="AJ665" s="2452"/>
      <c r="AK665" s="2452"/>
      <c r="AL665" s="2452"/>
      <c r="AN665" s="439"/>
    </row>
    <row r="666" spans="1:42" s="398" customFormat="1" ht="12.75" customHeight="1">
      <c r="B666" s="385"/>
      <c r="C666" s="735"/>
      <c r="D666" s="385"/>
      <c r="E666" s="2352"/>
      <c r="F666" s="2352"/>
      <c r="G666" s="2352"/>
      <c r="H666" s="2352"/>
      <c r="I666" s="2352"/>
      <c r="J666" s="2352"/>
      <c r="K666" s="2352"/>
      <c r="L666" s="2352"/>
      <c r="M666" s="2352"/>
      <c r="N666" s="2352"/>
      <c r="O666" s="2352"/>
      <c r="P666" s="2352"/>
      <c r="Q666" s="2352"/>
      <c r="R666" s="2352"/>
      <c r="S666" s="2352"/>
      <c r="T666" s="2352"/>
      <c r="U666" s="2352"/>
      <c r="V666" s="2352"/>
      <c r="W666" s="2352"/>
      <c r="X666" s="2352"/>
      <c r="Y666" s="2352"/>
      <c r="Z666" s="2352"/>
      <c r="AA666" s="2352"/>
      <c r="AB666" s="2352"/>
      <c r="AC666" s="2352"/>
      <c r="AD666" s="385"/>
      <c r="AE666" s="2452"/>
      <c r="AF666" s="2452"/>
      <c r="AG666" s="2452"/>
      <c r="AH666" s="2452"/>
      <c r="AI666" s="2452"/>
      <c r="AJ666" s="2452"/>
      <c r="AK666" s="2452"/>
      <c r="AL666" s="1118"/>
      <c r="AN666" s="439"/>
      <c r="AO666" s="398" t="s">
        <v>800</v>
      </c>
      <c r="AP666" s="510">
        <v>0</v>
      </c>
    </row>
    <row r="667" spans="1:42" s="398" customFormat="1" ht="12.75" customHeight="1">
      <c r="A667" s="1135"/>
      <c r="B667" s="385"/>
      <c r="C667" s="385"/>
      <c r="D667" s="500"/>
      <c r="E667" s="2352"/>
      <c r="F667" s="2352"/>
      <c r="G667" s="2352"/>
      <c r="H667" s="2352"/>
      <c r="I667" s="2352"/>
      <c r="J667" s="2352"/>
      <c r="K667" s="2352"/>
      <c r="L667" s="2352"/>
      <c r="M667" s="2352"/>
      <c r="N667" s="2352"/>
      <c r="O667" s="2352"/>
      <c r="P667" s="2352"/>
      <c r="Q667" s="2352"/>
      <c r="R667" s="2352"/>
      <c r="S667" s="2352"/>
      <c r="T667" s="2352"/>
      <c r="U667" s="2352"/>
      <c r="V667" s="2352"/>
      <c r="W667" s="2352"/>
      <c r="X667" s="2352"/>
      <c r="Y667" s="2352"/>
      <c r="Z667" s="2352"/>
      <c r="AA667" s="2352"/>
      <c r="AB667" s="2352"/>
      <c r="AC667" s="2352"/>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2484</v>
      </c>
      <c r="E669" s="2352" t="s">
        <v>2528</v>
      </c>
      <c r="F669" s="2352"/>
      <c r="G669" s="2352"/>
      <c r="H669" s="2352"/>
      <c r="I669" s="2352"/>
      <c r="J669" s="2352"/>
      <c r="K669" s="2352"/>
      <c r="L669" s="2352"/>
      <c r="M669" s="2352"/>
      <c r="N669" s="2352"/>
      <c r="O669" s="2352"/>
      <c r="P669" s="2352"/>
      <c r="Q669" s="2352"/>
      <c r="R669" s="2352"/>
      <c r="S669" s="2352"/>
      <c r="T669" s="2352"/>
      <c r="U669" s="2352"/>
      <c r="V669" s="2352"/>
      <c r="W669" s="2352"/>
      <c r="X669" s="2352"/>
      <c r="Y669" s="2352"/>
      <c r="Z669" s="2352"/>
      <c r="AA669" s="2352"/>
      <c r="AB669" s="2352"/>
      <c r="AC669" s="2352"/>
      <c r="AD669" s="385"/>
      <c r="AE669" s="385"/>
      <c r="AF669" s="2452" t="s">
        <v>2492</v>
      </c>
      <c r="AG669" s="2452"/>
      <c r="AH669" s="2452"/>
      <c r="AI669" s="2452"/>
      <c r="AJ669" s="2452"/>
      <c r="AK669" s="2452"/>
      <c r="AL669" s="2452"/>
      <c r="AN669" s="439"/>
    </row>
    <row r="670" spans="1:42" s="398" customFormat="1" ht="12.75" customHeight="1">
      <c r="A670" s="507"/>
      <c r="B670" s="385"/>
      <c r="C670" s="750"/>
      <c r="D670" s="500"/>
      <c r="E670" s="2352"/>
      <c r="F670" s="2352"/>
      <c r="G670" s="2352"/>
      <c r="H670" s="2352"/>
      <c r="I670" s="2352"/>
      <c r="J670" s="2352"/>
      <c r="K670" s="2352"/>
      <c r="L670" s="2352"/>
      <c r="M670" s="2352"/>
      <c r="N670" s="2352"/>
      <c r="O670" s="2352"/>
      <c r="P670" s="2352"/>
      <c r="Q670" s="2352"/>
      <c r="R670" s="2352"/>
      <c r="S670" s="2352"/>
      <c r="T670" s="2352"/>
      <c r="U670" s="2352"/>
      <c r="V670" s="2352"/>
      <c r="W670" s="2352"/>
      <c r="X670" s="2352"/>
      <c r="Y670" s="2352"/>
      <c r="Z670" s="2352"/>
      <c r="AA670" s="2352"/>
      <c r="AB670" s="2352"/>
      <c r="AC670" s="2352"/>
      <c r="AD670" s="385"/>
      <c r="AE670" s="1118"/>
      <c r="AF670" s="1118"/>
      <c r="AG670" s="1118"/>
      <c r="AH670" s="1118"/>
      <c r="AI670" s="1118"/>
      <c r="AJ670" s="1118"/>
      <c r="AK670" s="1118"/>
      <c r="AL670" s="1118"/>
      <c r="AM670" s="438"/>
      <c r="AN670" s="439"/>
    </row>
    <row r="671" spans="1:42" s="398" customFormat="1" ht="12.75" customHeight="1">
      <c r="A671" s="507"/>
      <c r="B671" s="385"/>
      <c r="C671" s="750"/>
      <c r="D671" s="500"/>
      <c r="E671" s="2352"/>
      <c r="F671" s="2352"/>
      <c r="G671" s="2352"/>
      <c r="H671" s="2352"/>
      <c r="I671" s="2352"/>
      <c r="J671" s="2352"/>
      <c r="K671" s="2352"/>
      <c r="L671" s="2352"/>
      <c r="M671" s="2352"/>
      <c r="N671" s="2352"/>
      <c r="O671" s="2352"/>
      <c r="P671" s="2352"/>
      <c r="Q671" s="2352"/>
      <c r="R671" s="2352"/>
      <c r="S671" s="2352"/>
      <c r="T671" s="2352"/>
      <c r="U671" s="2352"/>
      <c r="V671" s="2352"/>
      <c r="W671" s="2352"/>
      <c r="X671" s="2352"/>
      <c r="Y671" s="2352"/>
      <c r="Z671" s="2352"/>
      <c r="AA671" s="2352"/>
      <c r="AB671" s="2352"/>
      <c r="AC671" s="2352"/>
      <c r="AD671" s="385"/>
      <c r="AE671" s="1118"/>
      <c r="AF671" s="1118"/>
      <c r="AG671" s="1118"/>
      <c r="AH671" s="1118"/>
      <c r="AI671" s="1118"/>
      <c r="AJ671" s="1118"/>
      <c r="AK671" s="1118"/>
      <c r="AL671" s="1118"/>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118"/>
      <c r="AM672" s="438"/>
      <c r="AN672" s="439"/>
    </row>
    <row r="673" spans="1:42" s="398" customFormat="1" ht="12.75" customHeight="1">
      <c r="B673" s="385"/>
      <c r="C673" s="735"/>
      <c r="D673" s="500" t="s">
        <v>2487</v>
      </c>
      <c r="E673" s="2352" t="s">
        <v>2529</v>
      </c>
      <c r="F673" s="2352"/>
      <c r="G673" s="2352"/>
      <c r="H673" s="2352"/>
      <c r="I673" s="2352"/>
      <c r="J673" s="2352"/>
      <c r="K673" s="2352"/>
      <c r="L673" s="2352"/>
      <c r="M673" s="2352"/>
      <c r="N673" s="2352"/>
      <c r="O673" s="2352"/>
      <c r="P673" s="2352"/>
      <c r="Q673" s="2352"/>
      <c r="R673" s="2352"/>
      <c r="S673" s="2352"/>
      <c r="T673" s="2352"/>
      <c r="U673" s="2352"/>
      <c r="V673" s="2352"/>
      <c r="W673" s="2352"/>
      <c r="X673" s="2352"/>
      <c r="Y673" s="2352"/>
      <c r="Z673" s="2352"/>
      <c r="AA673" s="2352"/>
      <c r="AB673" s="2352"/>
      <c r="AC673" s="2352"/>
      <c r="AD673" s="385"/>
      <c r="AE673" s="385"/>
      <c r="AF673" s="2452" t="s">
        <v>2226</v>
      </c>
      <c r="AG673" s="2452"/>
      <c r="AH673" s="2452"/>
      <c r="AI673" s="2452"/>
      <c r="AJ673" s="2452"/>
      <c r="AK673" s="2452"/>
      <c r="AL673" s="2452"/>
      <c r="AM673" s="438"/>
      <c r="AN673" s="439"/>
    </row>
    <row r="674" spans="1:42" s="398" customFormat="1" ht="12.75" customHeight="1">
      <c r="B674" s="385"/>
      <c r="C674" s="735"/>
      <c r="D674" s="500"/>
      <c r="E674" s="2352"/>
      <c r="F674" s="2352"/>
      <c r="G674" s="2352"/>
      <c r="H674" s="2352"/>
      <c r="I674" s="2352"/>
      <c r="J674" s="2352"/>
      <c r="K674" s="2352"/>
      <c r="L674" s="2352"/>
      <c r="M674" s="2352"/>
      <c r="N674" s="2352"/>
      <c r="O674" s="2352"/>
      <c r="P674" s="2352"/>
      <c r="Q674" s="2352"/>
      <c r="R674" s="2352"/>
      <c r="S674" s="2352"/>
      <c r="T674" s="2352"/>
      <c r="U674" s="2352"/>
      <c r="V674" s="2352"/>
      <c r="W674" s="2352"/>
      <c r="X674" s="2352"/>
      <c r="Y674" s="2352"/>
      <c r="Z674" s="2352"/>
      <c r="AA674" s="2352"/>
      <c r="AB674" s="2352"/>
      <c r="AC674" s="2352"/>
      <c r="AD674" s="385"/>
      <c r="AE674" s="385"/>
      <c r="AF674" s="385"/>
      <c r="AG674" s="385"/>
      <c r="AH674" s="385"/>
      <c r="AI674" s="385"/>
      <c r="AJ674" s="385"/>
      <c r="AK674" s="385"/>
      <c r="AL674" s="385"/>
      <c r="AM674" s="438"/>
      <c r="AN674" s="439"/>
    </row>
    <row r="675" spans="1:42" s="398" customFormat="1" ht="12.75" customHeight="1">
      <c r="B675" s="385"/>
      <c r="C675" s="735"/>
      <c r="D675" s="500"/>
      <c r="E675" s="2352"/>
      <c r="F675" s="2352"/>
      <c r="G675" s="2352"/>
      <c r="H675" s="2352"/>
      <c r="I675" s="2352"/>
      <c r="J675" s="2352"/>
      <c r="K675" s="2352"/>
      <c r="L675" s="2352"/>
      <c r="M675" s="2352"/>
      <c r="N675" s="2352"/>
      <c r="O675" s="2352"/>
      <c r="P675" s="2352"/>
      <c r="Q675" s="2352"/>
      <c r="R675" s="2352"/>
      <c r="S675" s="2352"/>
      <c r="T675" s="2352"/>
      <c r="U675" s="2352"/>
      <c r="V675" s="2352"/>
      <c r="W675" s="2352"/>
      <c r="X675" s="2352"/>
      <c r="Y675" s="2352"/>
      <c r="Z675" s="2352"/>
      <c r="AA675" s="2352"/>
      <c r="AB675" s="2352"/>
      <c r="AC675" s="2352"/>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135"/>
      <c r="B677" s="385"/>
      <c r="C677" s="735"/>
      <c r="D677" s="500" t="s">
        <v>2515</v>
      </c>
      <c r="E677" s="2352" t="s">
        <v>2530</v>
      </c>
      <c r="F677" s="2352"/>
      <c r="G677" s="2352"/>
      <c r="H677" s="2352"/>
      <c r="I677" s="2352"/>
      <c r="J677" s="2352"/>
      <c r="K677" s="2352"/>
      <c r="L677" s="2352"/>
      <c r="M677" s="2352"/>
      <c r="N677" s="2352"/>
      <c r="O677" s="2352"/>
      <c r="P677" s="2352"/>
      <c r="Q677" s="2352"/>
      <c r="R677" s="2352"/>
      <c r="S677" s="2352"/>
      <c r="T677" s="2352"/>
      <c r="U677" s="2352"/>
      <c r="V677" s="2352"/>
      <c r="W677" s="2352"/>
      <c r="X677" s="2352"/>
      <c r="Y677" s="2352"/>
      <c r="Z677" s="2352"/>
      <c r="AA677" s="2352"/>
      <c r="AB677" s="2352"/>
      <c r="AC677" s="2352"/>
      <c r="AD677" s="385"/>
      <c r="AE677" s="385"/>
      <c r="AF677" s="2452" t="s">
        <v>2514</v>
      </c>
      <c r="AG677" s="2452"/>
      <c r="AH677" s="2452"/>
      <c r="AI677" s="2452"/>
      <c r="AJ677" s="2452"/>
      <c r="AK677" s="2452"/>
      <c r="AL677" s="2452"/>
      <c r="AM677" s="438"/>
      <c r="AN677" s="439"/>
    </row>
    <row r="678" spans="1:42" s="398" customFormat="1" ht="12.75" customHeight="1">
      <c r="A678" s="1135"/>
      <c r="B678" s="385"/>
      <c r="C678" s="735"/>
      <c r="D678" s="500"/>
      <c r="E678" s="2352"/>
      <c r="F678" s="2352"/>
      <c r="G678" s="2352"/>
      <c r="H678" s="2352"/>
      <c r="I678" s="2352"/>
      <c r="J678" s="2352"/>
      <c r="K678" s="2352"/>
      <c r="L678" s="2352"/>
      <c r="M678" s="2352"/>
      <c r="N678" s="2352"/>
      <c r="O678" s="2352"/>
      <c r="P678" s="2352"/>
      <c r="Q678" s="2352"/>
      <c r="R678" s="2352"/>
      <c r="S678" s="2352"/>
      <c r="T678" s="2352"/>
      <c r="U678" s="2352"/>
      <c r="V678" s="2352"/>
      <c r="W678" s="2352"/>
      <c r="X678" s="2352"/>
      <c r="Y678" s="2352"/>
      <c r="Z678" s="2352"/>
      <c r="AA678" s="2352"/>
      <c r="AB678" s="2352"/>
      <c r="AC678" s="2352"/>
      <c r="AD678" s="385"/>
      <c r="AE678" s="385"/>
      <c r="AF678" s="1118"/>
      <c r="AG678" s="1118"/>
      <c r="AH678" s="1118"/>
      <c r="AI678" s="1118"/>
      <c r="AJ678" s="1118"/>
      <c r="AK678" s="1118"/>
      <c r="AL678" s="1118"/>
      <c r="AM678" s="438"/>
      <c r="AN678" s="439"/>
    </row>
    <row r="679" spans="1:42" s="398" customFormat="1" ht="12.75" customHeight="1">
      <c r="A679" s="1135"/>
      <c r="B679" s="385"/>
      <c r="C679" s="735"/>
      <c r="D679" s="500"/>
      <c r="E679" s="2352"/>
      <c r="F679" s="2352"/>
      <c r="G679" s="2352"/>
      <c r="H679" s="2352"/>
      <c r="I679" s="2352"/>
      <c r="J679" s="2352"/>
      <c r="K679" s="2352"/>
      <c r="L679" s="2352"/>
      <c r="M679" s="2352"/>
      <c r="N679" s="2352"/>
      <c r="O679" s="2352"/>
      <c r="P679" s="2352"/>
      <c r="Q679" s="2352"/>
      <c r="R679" s="2352"/>
      <c r="S679" s="2352"/>
      <c r="T679" s="2352"/>
      <c r="U679" s="2352"/>
      <c r="V679" s="2352"/>
      <c r="W679" s="2352"/>
      <c r="X679" s="2352"/>
      <c r="Y679" s="2352"/>
      <c r="Z679" s="2352"/>
      <c r="AA679" s="2352"/>
      <c r="AB679" s="2352"/>
      <c r="AC679" s="2352"/>
      <c r="AD679" s="385"/>
      <c r="AE679" s="1118"/>
      <c r="AF679" s="1118"/>
      <c r="AG679" s="1118"/>
      <c r="AH679" s="1118"/>
      <c r="AI679" s="1118"/>
      <c r="AJ679" s="1118"/>
      <c r="AK679" s="1118"/>
      <c r="AL679" s="1118"/>
      <c r="AM679" s="438"/>
      <c r="AN679" s="439"/>
    </row>
    <row r="680" spans="1:42" s="398" customFormat="1" ht="12.75" customHeight="1">
      <c r="A680" s="1135"/>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118"/>
      <c r="AF680" s="385"/>
      <c r="AG680" s="385"/>
      <c r="AH680" s="385"/>
      <c r="AI680" s="385"/>
      <c r="AJ680" s="385"/>
      <c r="AK680" s="385"/>
      <c r="AL680" s="385"/>
      <c r="AM680" s="438"/>
      <c r="AN680" s="439"/>
      <c r="AO680" s="398" t="s">
        <v>800</v>
      </c>
      <c r="AP680" s="477">
        <v>0</v>
      </c>
    </row>
    <row r="681" spans="1:42" s="398" customFormat="1" ht="12.75" customHeight="1">
      <c r="A681" s="1135"/>
      <c r="B681" s="385"/>
      <c r="C681" s="735"/>
      <c r="D681" s="500" t="s">
        <v>2517</v>
      </c>
      <c r="E681" s="2352" t="s">
        <v>2531</v>
      </c>
      <c r="F681" s="2352"/>
      <c r="G681" s="2352"/>
      <c r="H681" s="2352"/>
      <c r="I681" s="2352"/>
      <c r="J681" s="2352"/>
      <c r="K681" s="2352"/>
      <c r="L681" s="2352"/>
      <c r="M681" s="2352"/>
      <c r="N681" s="2352"/>
      <c r="O681" s="2352"/>
      <c r="P681" s="2352"/>
      <c r="Q681" s="2352"/>
      <c r="R681" s="2352"/>
      <c r="S681" s="2352"/>
      <c r="T681" s="2352"/>
      <c r="U681" s="2352"/>
      <c r="V681" s="2352"/>
      <c r="W681" s="2352"/>
      <c r="X681" s="2352"/>
      <c r="Y681" s="2352"/>
      <c r="Z681" s="2352"/>
      <c r="AA681" s="2352"/>
      <c r="AB681" s="2352"/>
      <c r="AC681" s="2352"/>
      <c r="AD681" s="385"/>
      <c r="AE681" s="385"/>
      <c r="AF681" s="2452" t="s">
        <v>2532</v>
      </c>
      <c r="AG681" s="2452"/>
      <c r="AH681" s="2452"/>
      <c r="AI681" s="2452"/>
      <c r="AJ681" s="2452"/>
      <c r="AK681" s="2452"/>
      <c r="AL681" s="2452"/>
      <c r="AM681" s="438"/>
      <c r="AN681" s="439"/>
      <c r="AO681" s="452" t="s">
        <v>22</v>
      </c>
      <c r="AP681" s="398">
        <v>3</v>
      </c>
    </row>
    <row r="682" spans="1:42" s="398" customFormat="1" ht="12.75" customHeight="1">
      <c r="A682" s="1135"/>
      <c r="B682" s="385"/>
      <c r="C682" s="735"/>
      <c r="D682" s="500"/>
      <c r="E682" s="2352"/>
      <c r="F682" s="2352"/>
      <c r="G682" s="2352"/>
      <c r="H682" s="2352"/>
      <c r="I682" s="2352"/>
      <c r="J682" s="2352"/>
      <c r="K682" s="2352"/>
      <c r="L682" s="2352"/>
      <c r="M682" s="2352"/>
      <c r="N682" s="2352"/>
      <c r="O682" s="2352"/>
      <c r="P682" s="2352"/>
      <c r="Q682" s="2352"/>
      <c r="R682" s="2352"/>
      <c r="S682" s="2352"/>
      <c r="T682" s="2352"/>
      <c r="U682" s="2352"/>
      <c r="V682" s="2352"/>
      <c r="W682" s="2352"/>
      <c r="X682" s="2352"/>
      <c r="Y682" s="2352"/>
      <c r="Z682" s="2352"/>
      <c r="AA682" s="2352"/>
      <c r="AB682" s="2352"/>
      <c r="AC682" s="2352"/>
      <c r="AD682" s="385"/>
      <c r="AE682" s="385"/>
      <c r="AF682" s="1118"/>
      <c r="AG682" s="1118"/>
      <c r="AH682" s="1118"/>
      <c r="AI682" s="1118"/>
      <c r="AJ682" s="1118"/>
      <c r="AK682" s="1118"/>
      <c r="AL682" s="1118"/>
      <c r="AM682" s="438"/>
      <c r="AN682" s="439"/>
      <c r="AO682" s="452" t="s">
        <v>27</v>
      </c>
      <c r="AP682" s="398">
        <v>2</v>
      </c>
    </row>
    <row r="683" spans="1:42" s="398" customFormat="1" ht="12.75" customHeight="1">
      <c r="A683" s="1135"/>
      <c r="B683" s="385"/>
      <c r="C683" s="735"/>
      <c r="D683" s="500"/>
      <c r="E683" s="2352"/>
      <c r="F683" s="2352"/>
      <c r="G683" s="2352"/>
      <c r="H683" s="2352"/>
      <c r="I683" s="2352"/>
      <c r="J683" s="2352"/>
      <c r="K683" s="2352"/>
      <c r="L683" s="2352"/>
      <c r="M683" s="2352"/>
      <c r="N683" s="2352"/>
      <c r="O683" s="2352"/>
      <c r="P683" s="2352"/>
      <c r="Q683" s="2352"/>
      <c r="R683" s="2352"/>
      <c r="S683" s="2352"/>
      <c r="T683" s="2352"/>
      <c r="U683" s="2352"/>
      <c r="V683" s="2352"/>
      <c r="W683" s="2352"/>
      <c r="X683" s="2352"/>
      <c r="Y683" s="2352"/>
      <c r="Z683" s="2352"/>
      <c r="AA683" s="2352"/>
      <c r="AB683" s="2352"/>
      <c r="AC683" s="2352"/>
      <c r="AD683" s="385"/>
      <c r="AE683" s="1118"/>
      <c r="AF683" s="1118"/>
      <c r="AG683" s="1118"/>
      <c r="AH683" s="1118"/>
      <c r="AI683" s="1118"/>
      <c r="AJ683" s="1118"/>
      <c r="AK683" s="1118"/>
      <c r="AL683" s="1118"/>
      <c r="AM683" s="438"/>
      <c r="AN683" s="439"/>
    </row>
    <row r="684" spans="1:42" s="398" customFormat="1" ht="12.75" customHeight="1">
      <c r="A684" s="507"/>
      <c r="B684" s="385"/>
      <c r="C684" s="750"/>
      <c r="D684" s="500"/>
      <c r="E684" s="1125"/>
      <c r="F684" s="1125"/>
      <c r="G684" s="1125"/>
      <c r="H684" s="1125"/>
      <c r="I684" s="1125"/>
      <c r="J684" s="1125"/>
      <c r="K684" s="1125"/>
      <c r="L684" s="1125"/>
      <c r="M684" s="1125"/>
      <c r="N684" s="1125"/>
      <c r="O684" s="1125"/>
      <c r="P684" s="1125"/>
      <c r="Q684" s="1125"/>
      <c r="R684" s="1125"/>
      <c r="S684" s="1125"/>
      <c r="T684" s="1125"/>
      <c r="U684" s="1125"/>
      <c r="V684" s="1125"/>
      <c r="W684" s="1125"/>
      <c r="X684" s="1125"/>
      <c r="Y684" s="1125"/>
      <c r="Z684" s="1125"/>
      <c r="AA684" s="1125"/>
      <c r="AB684" s="1125"/>
      <c r="AC684" s="1125"/>
      <c r="AD684" s="385"/>
      <c r="AE684" s="1118"/>
      <c r="AF684" s="1118"/>
      <c r="AG684" s="1118"/>
      <c r="AH684" s="1118"/>
      <c r="AI684" s="1118"/>
      <c r="AJ684" s="1118"/>
      <c r="AK684" s="1118"/>
      <c r="AL684" s="1118"/>
      <c r="AM684" s="438"/>
      <c r="AN684" s="439"/>
    </row>
    <row r="685" spans="1:42" s="398" customFormat="1" ht="12.75" customHeight="1">
      <c r="A685" s="1135"/>
      <c r="B685" s="385"/>
      <c r="C685" s="735"/>
      <c r="D685" s="385" t="s">
        <v>2500</v>
      </c>
      <c r="E685" s="1137"/>
      <c r="F685" s="1137"/>
      <c r="G685" s="1137"/>
      <c r="H685" s="2376" t="s">
        <v>22</v>
      </c>
      <c r="I685" s="2376"/>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135"/>
      <c r="B686" s="385"/>
      <c r="C686" s="735"/>
      <c r="D686" s="385"/>
      <c r="E686" s="1137"/>
      <c r="F686" s="1137"/>
      <c r="G686" s="456"/>
      <c r="H686" s="456"/>
      <c r="I686" s="456"/>
      <c r="J686" s="456"/>
      <c r="K686" s="456"/>
      <c r="L686" s="456"/>
      <c r="M686" s="456"/>
      <c r="N686" s="456"/>
      <c r="O686" s="456"/>
      <c r="P686" s="456"/>
      <c r="Q686" s="456"/>
      <c r="R686" s="456"/>
      <c r="S686" s="456"/>
      <c r="T686" s="456"/>
      <c r="U686" s="456"/>
      <c r="V686" s="456"/>
      <c r="W686" s="456"/>
      <c r="X686" s="456"/>
      <c r="Y686" s="456"/>
      <c r="Z686" s="1137"/>
      <c r="AA686" s="1137"/>
      <c r="AB686" s="1137"/>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2533</v>
      </c>
      <c r="AJ687" s="2359">
        <f>VLOOKUP($H$685,$AO$633:$AP$640,2,FALSE)</f>
        <v>5</v>
      </c>
      <c r="AK687" s="2361"/>
      <c r="AL687" s="437"/>
      <c r="AN687" s="439"/>
    </row>
    <row r="688" spans="1:42" s="398" customFormat="1" ht="12.75" customHeight="1">
      <c r="A688" s="1135"/>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122"/>
      <c r="AE688" s="385"/>
      <c r="AF688" s="385"/>
      <c r="AG688" s="385"/>
      <c r="AH688" s="385"/>
      <c r="AI688" s="385"/>
      <c r="AJ688" s="385"/>
      <c r="AK688" s="385"/>
      <c r="AL688" s="385"/>
      <c r="AN688" s="439"/>
    </row>
    <row r="689" spans="1:51" s="398" customFormat="1" ht="12.75" customHeight="1">
      <c r="A689" s="1135"/>
      <c r="B689" s="385"/>
      <c r="C689" s="388" t="s">
        <v>2534</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122"/>
      <c r="AE689" s="385"/>
      <c r="AF689" s="385"/>
      <c r="AG689" s="385"/>
      <c r="AH689" s="385"/>
      <c r="AI689" s="385"/>
      <c r="AJ689" s="385"/>
      <c r="AK689" s="385"/>
      <c r="AL689" s="385"/>
      <c r="AN689" s="439"/>
      <c r="AW689" s="17" t="s">
        <v>2535</v>
      </c>
      <c r="AX689" s="398">
        <f>Application!Q212</f>
        <v>24</v>
      </c>
    </row>
    <row r="690" spans="1:51" s="398" customFormat="1" ht="12.75" customHeight="1">
      <c r="A690" s="1135"/>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2536</v>
      </c>
      <c r="AX690" s="932">
        <f>Application!G753</f>
        <v>79</v>
      </c>
    </row>
    <row r="691" spans="1:51" s="398" customFormat="1" ht="12.75" customHeight="1">
      <c r="A691" s="1135"/>
      <c r="B691" s="385"/>
      <c r="C691" s="751"/>
      <c r="D691" s="500" t="s">
        <v>22</v>
      </c>
      <c r="E691" s="2322" t="s">
        <v>2537</v>
      </c>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385"/>
      <c r="AD691" s="385"/>
      <c r="AE691" s="385"/>
      <c r="AF691" s="2452" t="s">
        <v>2226</v>
      </c>
      <c r="AG691" s="2452"/>
      <c r="AH691" s="2452"/>
      <c r="AI691" s="2452"/>
      <c r="AJ691" s="2452"/>
      <c r="AK691" s="2452"/>
      <c r="AL691" s="2452"/>
      <c r="AN691" s="439"/>
      <c r="AW691" s="17" t="s">
        <v>2538</v>
      </c>
      <c r="AX691" s="398">
        <f>Application!DE753</f>
        <v>0</v>
      </c>
    </row>
    <row r="692" spans="1:51" s="398" customFormat="1" ht="12.75" customHeight="1">
      <c r="A692" s="1135"/>
      <c r="B692" s="385"/>
      <c r="C692" s="751"/>
      <c r="D692" s="500"/>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385"/>
      <c r="AD692" s="385"/>
      <c r="AE692" s="385"/>
      <c r="AF692" s="385"/>
      <c r="AG692" s="385"/>
      <c r="AH692" s="385"/>
      <c r="AI692" s="385"/>
      <c r="AJ692" s="385"/>
      <c r="AK692" s="385"/>
      <c r="AL692" s="385"/>
      <c r="AN692" s="439"/>
      <c r="AW692" s="17" t="s">
        <v>2539</v>
      </c>
      <c r="AX692" s="398">
        <f>Application!DJ753</f>
        <v>0</v>
      </c>
    </row>
    <row r="693" spans="1:51" s="398" customFormat="1" ht="12.75" customHeight="1">
      <c r="A693" s="1135"/>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2540</v>
      </c>
      <c r="AX693" s="398">
        <f>Application!DO753</f>
        <v>0</v>
      </c>
    </row>
    <row r="694" spans="1:51" s="398" customFormat="1" ht="12.75" customHeight="1">
      <c r="B694" s="385"/>
      <c r="C694" s="735"/>
      <c r="D694" s="500" t="s">
        <v>27</v>
      </c>
      <c r="E694" s="2352" t="s">
        <v>2541</v>
      </c>
      <c r="F694" s="2352"/>
      <c r="G694" s="2352"/>
      <c r="H694" s="2352"/>
      <c r="I694" s="2352"/>
      <c r="J694" s="2352"/>
      <c r="K694" s="2352"/>
      <c r="L694" s="2352"/>
      <c r="M694" s="2352"/>
      <c r="N694" s="2352"/>
      <c r="O694" s="2352"/>
      <c r="P694" s="2352"/>
      <c r="Q694" s="2352"/>
      <c r="R694" s="2352"/>
      <c r="S694" s="2352"/>
      <c r="T694" s="2352"/>
      <c r="U694" s="2352"/>
      <c r="V694" s="2352"/>
      <c r="W694" s="2352"/>
      <c r="X694" s="2352"/>
      <c r="Y694" s="2352"/>
      <c r="Z694" s="2352"/>
      <c r="AA694" s="2352"/>
      <c r="AB694" s="2352"/>
      <c r="AC694" s="385"/>
      <c r="AD694" s="385"/>
      <c r="AE694" s="385"/>
      <c r="AF694" s="2452" t="s">
        <v>2226</v>
      </c>
      <c r="AG694" s="2452"/>
      <c r="AH694" s="2452"/>
      <c r="AI694" s="2452"/>
      <c r="AJ694" s="2452"/>
      <c r="AK694" s="2452"/>
      <c r="AL694" s="2452"/>
      <c r="AN694" s="439"/>
      <c r="AW694" s="17" t="s">
        <v>2542</v>
      </c>
      <c r="AX694" s="398">
        <f>AX691+AX692+AX693</f>
        <v>0</v>
      </c>
    </row>
    <row r="695" spans="1:51" s="398" customFormat="1" ht="12.75" customHeight="1">
      <c r="B695" s="385"/>
      <c r="C695" s="743"/>
      <c r="D695" s="500"/>
      <c r="E695" s="2352"/>
      <c r="F695" s="2352"/>
      <c r="G695" s="2352"/>
      <c r="H695" s="2352"/>
      <c r="I695" s="2352"/>
      <c r="J695" s="2352"/>
      <c r="K695" s="2352"/>
      <c r="L695" s="2352"/>
      <c r="M695" s="2352"/>
      <c r="N695" s="2352"/>
      <c r="O695" s="2352"/>
      <c r="P695" s="2352"/>
      <c r="Q695" s="2352"/>
      <c r="R695" s="2352"/>
      <c r="S695" s="2352"/>
      <c r="T695" s="2352"/>
      <c r="U695" s="2352"/>
      <c r="V695" s="2352"/>
      <c r="W695" s="2352"/>
      <c r="X695" s="2352"/>
      <c r="Y695" s="2352"/>
      <c r="Z695" s="2352"/>
      <c r="AA695" s="2352"/>
      <c r="AB695" s="2352"/>
      <c r="AC695" s="385"/>
      <c r="AD695" s="385"/>
      <c r="AE695" s="456"/>
      <c r="AF695" s="385"/>
      <c r="AG695" s="385"/>
      <c r="AH695" s="385"/>
      <c r="AI695" s="385"/>
      <c r="AJ695" s="385"/>
      <c r="AK695" s="385"/>
      <c r="AL695" s="385"/>
      <c r="AN695" s="439"/>
      <c r="AO695" s="2366" t="b">
        <f>IF(Application!D211="Special Needs",IF(AY695&gt;=0.25,TRUE,FALSE),IF(AX695&gt;=0.25,TRUE,FALSE))</f>
        <v>0</v>
      </c>
      <c r="AP695" s="2366"/>
      <c r="AW695" s="17" t="s">
        <v>1987</v>
      </c>
      <c r="AX695" s="398">
        <f>IFERROR(AX694/AX690,0)</f>
        <v>0</v>
      </c>
      <c r="AY695" s="398">
        <f>IFERROR(AX694/(AX690-AX689),0)</f>
        <v>0</v>
      </c>
    </row>
    <row r="696" spans="1:51" s="398" customFormat="1" ht="12.75" customHeight="1">
      <c r="B696" s="385"/>
      <c r="C696" s="743"/>
      <c r="E696" s="2352"/>
      <c r="F696" s="2352"/>
      <c r="G696" s="2352"/>
      <c r="H696" s="2352"/>
      <c r="I696" s="2352"/>
      <c r="J696" s="2352"/>
      <c r="K696" s="2352"/>
      <c r="L696" s="2352"/>
      <c r="M696" s="2352"/>
      <c r="N696" s="2352"/>
      <c r="O696" s="2352"/>
      <c r="P696" s="2352"/>
      <c r="Q696" s="2352"/>
      <c r="R696" s="2352"/>
      <c r="S696" s="2352"/>
      <c r="T696" s="2352"/>
      <c r="U696" s="2352"/>
      <c r="V696" s="2352"/>
      <c r="W696" s="2352"/>
      <c r="X696" s="2352"/>
      <c r="Y696" s="2352"/>
      <c r="Z696" s="2352"/>
      <c r="AA696" s="2352"/>
      <c r="AB696" s="2352"/>
      <c r="AC696" s="385"/>
      <c r="AD696" s="385"/>
      <c r="AE696" s="456"/>
      <c r="AF696" s="456"/>
      <c r="AG696" s="456"/>
      <c r="AH696" s="456"/>
      <c r="AI696" s="456"/>
      <c r="AJ696" s="456"/>
      <c r="AK696" s="456"/>
      <c r="AL696" s="456"/>
      <c r="AN696" s="439"/>
      <c r="AW696" s="11"/>
    </row>
    <row r="697" spans="1:51" s="398" customFormat="1" ht="28.5" customHeight="1">
      <c r="B697" s="385"/>
      <c r="C697" s="743"/>
      <c r="D697" s="385"/>
      <c r="E697" s="2352"/>
      <c r="F697" s="2352"/>
      <c r="G697" s="2352"/>
      <c r="H697" s="2352"/>
      <c r="I697" s="2352"/>
      <c r="J697" s="2352"/>
      <c r="K697" s="2352"/>
      <c r="L697" s="2352"/>
      <c r="M697" s="2352"/>
      <c r="N697" s="2352"/>
      <c r="O697" s="2352"/>
      <c r="P697" s="2352"/>
      <c r="Q697" s="2352"/>
      <c r="R697" s="2352"/>
      <c r="S697" s="2352"/>
      <c r="T697" s="2352"/>
      <c r="U697" s="2352"/>
      <c r="V697" s="2352"/>
      <c r="W697" s="2352"/>
      <c r="X697" s="2352"/>
      <c r="Y697" s="2352"/>
      <c r="Z697" s="2352"/>
      <c r="AA697" s="2352"/>
      <c r="AB697" s="2352"/>
      <c r="AC697" s="385"/>
      <c r="AD697" s="385"/>
      <c r="AE697" s="456"/>
      <c r="AF697" s="456"/>
      <c r="AG697" s="456"/>
      <c r="AH697" s="456"/>
      <c r="AI697" s="456"/>
      <c r="AJ697" s="456"/>
      <c r="AK697" s="456"/>
      <c r="AL697" s="456"/>
      <c r="AN697" s="439"/>
      <c r="AO697" s="398" t="s">
        <v>800</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352" t="s">
        <v>2543</v>
      </c>
      <c r="F699" s="2352"/>
      <c r="G699" s="2352"/>
      <c r="H699" s="2352"/>
      <c r="I699" s="2352"/>
      <c r="J699" s="2352"/>
      <c r="K699" s="2352"/>
      <c r="L699" s="2352"/>
      <c r="M699" s="2352"/>
      <c r="N699" s="2352"/>
      <c r="O699" s="2352"/>
      <c r="P699" s="2352"/>
      <c r="Q699" s="2352"/>
      <c r="R699" s="2352"/>
      <c r="S699" s="2352"/>
      <c r="T699" s="2352"/>
      <c r="U699" s="2352"/>
      <c r="V699" s="2352"/>
      <c r="W699" s="2352"/>
      <c r="X699" s="2352"/>
      <c r="Y699" s="2352"/>
      <c r="Z699" s="2352"/>
      <c r="AA699" s="2352"/>
      <c r="AB699" s="2352"/>
      <c r="AC699" s="385"/>
      <c r="AD699" s="385"/>
      <c r="AE699" s="385"/>
      <c r="AF699" s="2452" t="s">
        <v>2514</v>
      </c>
      <c r="AG699" s="2452"/>
      <c r="AH699" s="2452"/>
      <c r="AI699" s="2452"/>
      <c r="AJ699" s="2452"/>
      <c r="AK699" s="2452"/>
      <c r="AL699" s="2452"/>
      <c r="AN699" s="439"/>
      <c r="AO699" s="452" t="s">
        <v>27</v>
      </c>
      <c r="AP699" s="398">
        <v>1</v>
      </c>
    </row>
    <row r="700" spans="1:51" s="398" customFormat="1" ht="12" customHeight="1">
      <c r="B700" s="385"/>
      <c r="C700" s="735"/>
      <c r="E700" s="2352"/>
      <c r="F700" s="2352"/>
      <c r="G700" s="2352"/>
      <c r="H700" s="2352"/>
      <c r="I700" s="2352"/>
      <c r="J700" s="2352"/>
      <c r="K700" s="2352"/>
      <c r="L700" s="2352"/>
      <c r="M700" s="2352"/>
      <c r="N700" s="2352"/>
      <c r="O700" s="2352"/>
      <c r="P700" s="2352"/>
      <c r="Q700" s="2352"/>
      <c r="R700" s="2352"/>
      <c r="S700" s="2352"/>
      <c r="T700" s="2352"/>
      <c r="U700" s="2352"/>
      <c r="V700" s="2352"/>
      <c r="W700" s="2352"/>
      <c r="X700" s="2352"/>
      <c r="Y700" s="2352"/>
      <c r="Z700" s="2352"/>
      <c r="AA700" s="2352"/>
      <c r="AB700" s="2352"/>
      <c r="AC700" s="385"/>
      <c r="AD700" s="385"/>
      <c r="AE700" s="456"/>
      <c r="AF700" s="385"/>
      <c r="AG700" s="385"/>
      <c r="AH700" s="385"/>
      <c r="AI700" s="385"/>
      <c r="AJ700" s="385"/>
      <c r="AK700" s="385"/>
      <c r="AL700" s="385"/>
      <c r="AN700" s="439"/>
    </row>
    <row r="701" spans="1:51" s="398" customFormat="1" ht="12" customHeight="1">
      <c r="B701" s="385"/>
      <c r="C701" s="735"/>
      <c r="D701" s="385"/>
      <c r="E701" s="2352"/>
      <c r="F701" s="2352"/>
      <c r="G701" s="2352"/>
      <c r="H701" s="2352"/>
      <c r="I701" s="2352"/>
      <c r="J701" s="2352"/>
      <c r="K701" s="2352"/>
      <c r="L701" s="2352"/>
      <c r="M701" s="2352"/>
      <c r="N701" s="2352"/>
      <c r="O701" s="2352"/>
      <c r="P701" s="2352"/>
      <c r="Q701" s="2352"/>
      <c r="R701" s="2352"/>
      <c r="S701" s="2352"/>
      <c r="T701" s="2352"/>
      <c r="U701" s="2352"/>
      <c r="V701" s="2352"/>
      <c r="W701" s="2352"/>
      <c r="X701" s="2352"/>
      <c r="Y701" s="2352"/>
      <c r="Z701" s="2352"/>
      <c r="AA701" s="2352"/>
      <c r="AB701" s="2352"/>
      <c r="AC701" s="385"/>
      <c r="AD701" s="385"/>
      <c r="AE701" s="456"/>
      <c r="AF701" s="385"/>
      <c r="AG701" s="385"/>
      <c r="AH701" s="385"/>
      <c r="AI701" s="385"/>
      <c r="AJ701" s="385"/>
      <c r="AK701" s="385"/>
      <c r="AL701" s="385"/>
      <c r="AN701" s="439"/>
    </row>
    <row r="702" spans="1:51" s="398" customFormat="1" ht="12" customHeight="1">
      <c r="B702" s="385"/>
      <c r="C702" s="735"/>
      <c r="D702" s="385"/>
      <c r="E702" s="2352"/>
      <c r="F702" s="2352"/>
      <c r="G702" s="2352"/>
      <c r="H702" s="2352"/>
      <c r="I702" s="2352"/>
      <c r="J702" s="2352"/>
      <c r="K702" s="2352"/>
      <c r="L702" s="2352"/>
      <c r="M702" s="2352"/>
      <c r="N702" s="2352"/>
      <c r="O702" s="2352"/>
      <c r="P702" s="2352"/>
      <c r="Q702" s="2352"/>
      <c r="R702" s="2352"/>
      <c r="S702" s="2352"/>
      <c r="T702" s="2352"/>
      <c r="U702" s="2352"/>
      <c r="V702" s="2352"/>
      <c r="W702" s="2352"/>
      <c r="X702" s="2352"/>
      <c r="Y702" s="2352"/>
      <c r="Z702" s="2352"/>
      <c r="AA702" s="2352"/>
      <c r="AB702" s="2352"/>
      <c r="AC702" s="385"/>
      <c r="AD702" s="385"/>
      <c r="AE702" s="456"/>
      <c r="AF702" s="385"/>
      <c r="AG702" s="385"/>
      <c r="AH702" s="385"/>
      <c r="AI702" s="385"/>
      <c r="AJ702" s="385"/>
      <c r="AK702" s="385"/>
      <c r="AL702" s="385"/>
      <c r="AN702" s="439"/>
    </row>
    <row r="703" spans="1:51" s="416" customFormat="1" ht="13" customHeight="1">
      <c r="A703" s="398"/>
      <c r="B703" s="385"/>
      <c r="C703" s="735"/>
      <c r="D703" s="385"/>
      <c r="E703" s="2352"/>
      <c r="F703" s="2352"/>
      <c r="G703" s="2352"/>
      <c r="H703" s="2352"/>
      <c r="I703" s="2352"/>
      <c r="J703" s="2352"/>
      <c r="K703" s="2352"/>
      <c r="L703" s="2352"/>
      <c r="M703" s="2352"/>
      <c r="N703" s="2352"/>
      <c r="O703" s="2352"/>
      <c r="P703" s="2352"/>
      <c r="Q703" s="2352"/>
      <c r="R703" s="2352"/>
      <c r="S703" s="2352"/>
      <c r="T703" s="2352"/>
      <c r="U703" s="2352"/>
      <c r="V703" s="2352"/>
      <c r="W703" s="2352"/>
      <c r="X703" s="2352"/>
      <c r="Y703" s="2352"/>
      <c r="Z703" s="2352"/>
      <c r="AA703" s="2352"/>
      <c r="AB703" s="2352"/>
      <c r="AC703" s="385"/>
      <c r="AD703" s="385"/>
      <c r="AE703" s="456"/>
      <c r="AF703" s="456"/>
      <c r="AG703" s="456"/>
      <c r="AH703" s="456"/>
      <c r="AI703" s="456"/>
      <c r="AJ703" s="385"/>
      <c r="AK703" s="385"/>
      <c r="AL703" s="385"/>
      <c r="AM703" s="398"/>
      <c r="AN703" s="520"/>
      <c r="AO703" s="398" t="s">
        <v>800</v>
      </c>
      <c r="AP703" s="510">
        <v>0</v>
      </c>
    </row>
    <row r="704" spans="1:51" s="416" customFormat="1" ht="12" customHeight="1">
      <c r="A704" s="398"/>
      <c r="B704" s="385"/>
      <c r="C704" s="735"/>
      <c r="D704" s="385"/>
      <c r="E704" s="1125"/>
      <c r="F704" s="1125"/>
      <c r="G704" s="1125"/>
      <c r="H704" s="1125"/>
      <c r="I704" s="1125"/>
      <c r="J704" s="1125"/>
      <c r="K704" s="1125"/>
      <c r="L704" s="1125"/>
      <c r="M704" s="1125"/>
      <c r="N704" s="1125"/>
      <c r="O704" s="1125"/>
      <c r="P704" s="1125"/>
      <c r="Q704" s="1125"/>
      <c r="R704" s="1125"/>
      <c r="S704" s="1125"/>
      <c r="T704" s="1125"/>
      <c r="U704" s="1125"/>
      <c r="V704" s="1125"/>
      <c r="W704" s="1125"/>
      <c r="X704" s="1125"/>
      <c r="Y704" s="1125"/>
      <c r="Z704" s="1125"/>
      <c r="AA704" s="1125"/>
      <c r="AB704" s="1125"/>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352" t="s">
        <v>2544</v>
      </c>
      <c r="F705" s="2352"/>
      <c r="G705" s="2352"/>
      <c r="H705" s="2352"/>
      <c r="I705" s="2352"/>
      <c r="J705" s="2352"/>
      <c r="K705" s="2352"/>
      <c r="L705" s="2352"/>
      <c r="M705" s="2352"/>
      <c r="N705" s="2352"/>
      <c r="O705" s="2352"/>
      <c r="P705" s="2352"/>
      <c r="Q705" s="2352"/>
      <c r="R705" s="2352"/>
      <c r="S705" s="2352"/>
      <c r="T705" s="2352"/>
      <c r="U705" s="2352"/>
      <c r="V705" s="2352"/>
      <c r="W705" s="2352"/>
      <c r="X705" s="2352"/>
      <c r="Y705" s="2352"/>
      <c r="Z705" s="2352"/>
      <c r="AA705" s="2352"/>
      <c r="AB705" s="2352"/>
      <c r="AC705" s="385"/>
      <c r="AD705" s="385"/>
      <c r="AE705" s="456"/>
      <c r="AF705" s="456"/>
      <c r="AG705" s="456"/>
      <c r="AH705" s="456"/>
      <c r="AI705" s="456"/>
      <c r="AJ705" s="385"/>
      <c r="AK705" s="385"/>
      <c r="AL705" s="385"/>
      <c r="AM705" s="398"/>
      <c r="AN705" s="520"/>
      <c r="AO705" s="452" t="s">
        <v>27</v>
      </c>
      <c r="AP705" s="398">
        <f>3*$AO$695</f>
        <v>0</v>
      </c>
    </row>
    <row r="706" spans="1:43" s="416" customFormat="1" ht="12.75" customHeight="1">
      <c r="A706" s="398"/>
      <c r="B706" s="385"/>
      <c r="C706" s="735"/>
      <c r="D706" s="385"/>
      <c r="E706" s="2352"/>
      <c r="F706" s="2352"/>
      <c r="G706" s="2352"/>
      <c r="H706" s="2352"/>
      <c r="I706" s="2352"/>
      <c r="J706" s="2352"/>
      <c r="K706" s="2352"/>
      <c r="L706" s="2352"/>
      <c r="M706" s="2352"/>
      <c r="N706" s="2352"/>
      <c r="O706" s="2352"/>
      <c r="P706" s="2352"/>
      <c r="Q706" s="2352"/>
      <c r="R706" s="2352"/>
      <c r="S706" s="2352"/>
      <c r="T706" s="2352"/>
      <c r="U706" s="2352"/>
      <c r="V706" s="2352"/>
      <c r="W706" s="2352"/>
      <c r="X706" s="2352"/>
      <c r="Y706" s="2352"/>
      <c r="Z706" s="2352"/>
      <c r="AA706" s="2352"/>
      <c r="AB706" s="2352"/>
      <c r="AC706" s="385"/>
      <c r="AD706" s="385"/>
      <c r="AE706" s="456"/>
      <c r="AF706" s="456"/>
      <c r="AG706" s="456"/>
      <c r="AH706" s="456"/>
      <c r="AI706" s="456"/>
      <c r="AJ706" s="385"/>
      <c r="AK706" s="385"/>
      <c r="AL706" s="385"/>
      <c r="AM706" s="398"/>
      <c r="AN706" s="520"/>
      <c r="AO706" s="452" t="s">
        <v>49</v>
      </c>
      <c r="AP706" s="398">
        <f>2*$AO$695</f>
        <v>0</v>
      </c>
    </row>
    <row r="707" spans="1:43" s="416" customFormat="1" ht="12.75" customHeight="1">
      <c r="A707" s="398"/>
      <c r="B707" s="385"/>
      <c r="C707" s="735"/>
      <c r="D707" s="385"/>
      <c r="E707" s="2352"/>
      <c r="F707" s="2352"/>
      <c r="G707" s="2352"/>
      <c r="H707" s="2352"/>
      <c r="I707" s="2352"/>
      <c r="J707" s="2352"/>
      <c r="K707" s="2352"/>
      <c r="L707" s="2352"/>
      <c r="M707" s="2352"/>
      <c r="N707" s="2352"/>
      <c r="O707" s="2352"/>
      <c r="P707" s="2352"/>
      <c r="Q707" s="2352"/>
      <c r="R707" s="2352"/>
      <c r="S707" s="2352"/>
      <c r="T707" s="2352"/>
      <c r="U707" s="2352"/>
      <c r="V707" s="2352"/>
      <c r="W707" s="2352"/>
      <c r="X707" s="2352"/>
      <c r="Y707" s="2352"/>
      <c r="Z707" s="2352"/>
      <c r="AA707" s="2352"/>
      <c r="AB707" s="2352"/>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25"/>
      <c r="F708" s="1125"/>
      <c r="G708" s="1125"/>
      <c r="H708" s="1125"/>
      <c r="I708" s="1125"/>
      <c r="J708" s="1125"/>
      <c r="K708" s="1125"/>
      <c r="L708" s="1125"/>
      <c r="M708" s="1125"/>
      <c r="N708" s="1125"/>
      <c r="O708" s="1125"/>
      <c r="P708" s="1125"/>
      <c r="Q708" s="1125"/>
      <c r="R708" s="1125"/>
      <c r="S708" s="1125"/>
      <c r="T708" s="1125"/>
      <c r="U708" s="1125"/>
      <c r="V708" s="1125"/>
      <c r="W708" s="1125"/>
      <c r="X708" s="1125"/>
      <c r="Y708" s="1125"/>
      <c r="Z708" s="1125"/>
      <c r="AA708" s="1125"/>
      <c r="AB708" s="1125"/>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2500</v>
      </c>
      <c r="E709" s="1137"/>
      <c r="F709" s="1137"/>
      <c r="G709" s="1137"/>
      <c r="H709" s="2376" t="s">
        <v>800</v>
      </c>
      <c r="I709" s="2376"/>
      <c r="J709" s="1125"/>
      <c r="K709" s="1125"/>
      <c r="L709" s="1125"/>
      <c r="M709" s="1125"/>
      <c r="N709" s="1125"/>
      <c r="O709" s="1125"/>
      <c r="P709" s="1125"/>
      <c r="Q709" s="1125"/>
      <c r="R709" s="1125"/>
      <c r="S709" s="1125"/>
      <c r="T709" s="1125"/>
      <c r="U709" s="1125"/>
      <c r="V709" s="1125"/>
      <c r="W709" s="1125"/>
      <c r="X709" s="1125"/>
      <c r="Y709" s="1125"/>
      <c r="Z709" s="1125"/>
      <c r="AA709" s="1125"/>
      <c r="AB709" s="1125"/>
      <c r="AC709" s="385"/>
      <c r="AD709" s="385"/>
      <c r="AE709" s="456"/>
      <c r="AF709" s="456"/>
      <c r="AG709" s="456"/>
      <c r="AH709" s="456"/>
      <c r="AI709" s="456"/>
      <c r="AJ709" s="385"/>
      <c r="AK709" s="385"/>
      <c r="AL709" s="385"/>
      <c r="AM709" s="398"/>
      <c r="AN709" s="520"/>
      <c r="AP709" s="416" t="s">
        <v>2545</v>
      </c>
    </row>
    <row r="710" spans="1:43" s="416" customFormat="1">
      <c r="A710" s="398"/>
      <c r="B710" s="385"/>
      <c r="C710" s="735"/>
      <c r="D710" s="385"/>
      <c r="E710" s="1125"/>
      <c r="F710" s="1125"/>
      <c r="G710" s="1125"/>
      <c r="H710" s="1125"/>
      <c r="I710" s="1125"/>
      <c r="J710" s="1125"/>
      <c r="K710" s="1125"/>
      <c r="L710" s="1125"/>
      <c r="M710" s="1125"/>
      <c r="N710" s="1125"/>
      <c r="O710" s="1125"/>
      <c r="P710" s="1125"/>
      <c r="Q710" s="1125"/>
      <c r="R710" s="1125"/>
      <c r="S710" s="1125"/>
      <c r="T710" s="1125"/>
      <c r="U710" s="1125"/>
      <c r="V710" s="1125"/>
      <c r="W710" s="1125"/>
      <c r="X710" s="1125"/>
      <c r="Y710" s="1125"/>
      <c r="Z710" s="1125"/>
      <c r="AA710" s="1125"/>
      <c r="AB710" s="1125"/>
      <c r="AC710" s="385"/>
      <c r="AD710" s="385"/>
      <c r="AE710" s="456"/>
      <c r="AF710" s="456"/>
      <c r="AG710" s="456"/>
      <c r="AH710" s="456"/>
      <c r="AI710" s="456"/>
      <c r="AJ710" s="385"/>
      <c r="AK710" s="385"/>
      <c r="AL710" s="385"/>
      <c r="AM710" s="398"/>
      <c r="AN710" s="520"/>
      <c r="AP710" s="416" t="s">
        <v>2510</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2546</v>
      </c>
      <c r="AJ711" s="2359">
        <f>VLOOKUP($H$709,$AO$703:$AP$706,2,FALSE)</f>
        <v>0</v>
      </c>
      <c r="AK711" s="2361"/>
      <c r="AL711" s="437"/>
      <c r="AM711" s="398"/>
      <c r="AN711" s="520"/>
      <c r="AP711" s="416" t="s">
        <v>2518</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2547</v>
      </c>
    </row>
    <row r="713" spans="1:43" s="416" customFormat="1" ht="12.75" customHeight="1">
      <c r="A713" s="398"/>
      <c r="B713" s="385"/>
      <c r="C713" s="388" t="s">
        <v>2548</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2549</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2550</v>
      </c>
    </row>
    <row r="715" spans="1:43" s="416" customFormat="1" ht="12.75" customHeight="1">
      <c r="A715" s="477"/>
      <c r="B715" s="385"/>
      <c r="C715" s="735"/>
      <c r="D715" s="500" t="s">
        <v>22</v>
      </c>
      <c r="E715" s="2464" t="s">
        <v>2551</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385"/>
      <c r="AD715" s="385"/>
      <c r="AE715" s="385"/>
      <c r="AF715" s="2452" t="s">
        <v>2226</v>
      </c>
      <c r="AG715" s="2452"/>
      <c r="AH715" s="2452"/>
      <c r="AI715" s="2452"/>
      <c r="AJ715" s="2452"/>
      <c r="AK715" s="2452"/>
      <c r="AL715" s="2452"/>
      <c r="AM715" s="398"/>
      <c r="AN715" s="520"/>
      <c r="AP715" s="416" t="s">
        <v>2552</v>
      </c>
    </row>
    <row r="716" spans="1:43" s="416" customFormat="1" ht="11.9" customHeight="1">
      <c r="A716" s="398"/>
      <c r="B716" s="385"/>
      <c r="C716" s="737"/>
      <c r="D716" s="500"/>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385"/>
      <c r="AD716" s="385"/>
      <c r="AE716" s="385"/>
      <c r="AF716" s="385"/>
      <c r="AG716" s="385"/>
      <c r="AH716" s="385"/>
      <c r="AI716" s="385"/>
      <c r="AJ716" s="385"/>
      <c r="AK716" s="385"/>
      <c r="AL716" s="385"/>
      <c r="AM716" s="398"/>
      <c r="AN716" s="520"/>
      <c r="AP716" s="416" t="s">
        <v>2553</v>
      </c>
    </row>
    <row r="717" spans="1:43" s="416" customFormat="1" ht="14.15" customHeight="1">
      <c r="A717" s="398"/>
      <c r="B717" s="451"/>
      <c r="C717" s="735"/>
      <c r="D717" s="500"/>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385"/>
      <c r="AD717" s="385"/>
      <c r="AE717" s="456"/>
      <c r="AF717" s="385"/>
      <c r="AG717" s="385"/>
      <c r="AH717" s="385"/>
      <c r="AI717" s="385"/>
      <c r="AJ717" s="385"/>
      <c r="AK717" s="385"/>
      <c r="AL717" s="385"/>
      <c r="AM717" s="398"/>
      <c r="AN717" s="520"/>
      <c r="AP717" s="416" t="s">
        <v>2554</v>
      </c>
    </row>
    <row r="718" spans="1:43" s="416" customFormat="1" ht="14.15" customHeight="1">
      <c r="A718" s="398"/>
      <c r="B718" s="451"/>
      <c r="C718" s="735"/>
      <c r="D718" s="500"/>
      <c r="E718" s="1137"/>
      <c r="F718" s="1137"/>
      <c r="G718" s="1137"/>
      <c r="H718" s="1137"/>
      <c r="I718" s="1137"/>
      <c r="J718" s="1137"/>
      <c r="K718" s="1137"/>
      <c r="L718" s="1137"/>
      <c r="M718" s="1137"/>
      <c r="N718" s="1137"/>
      <c r="O718" s="1137"/>
      <c r="P718" s="1137"/>
      <c r="Q718" s="1137"/>
      <c r="R718" s="1137"/>
      <c r="S718" s="1137"/>
      <c r="T718" s="1137"/>
      <c r="U718" s="1137"/>
      <c r="V718" s="1137"/>
      <c r="W718" s="1137"/>
      <c r="X718" s="1137"/>
      <c r="Y718" s="1137"/>
      <c r="Z718" s="1137"/>
      <c r="AA718" s="1137"/>
      <c r="AB718" s="1137"/>
      <c r="AC718" s="385"/>
      <c r="AD718" s="385"/>
      <c r="AE718" s="456"/>
      <c r="AF718" s="385"/>
      <c r="AG718" s="385"/>
      <c r="AH718" s="385"/>
      <c r="AI718" s="385"/>
      <c r="AJ718" s="385"/>
      <c r="AK718" s="385"/>
      <c r="AL718" s="385"/>
      <c r="AM718" s="398"/>
      <c r="AN718" s="520"/>
      <c r="AP718" s="522" t="s">
        <v>2555</v>
      </c>
    </row>
    <row r="719" spans="1:43" s="416" customFormat="1" ht="14.15" customHeight="1">
      <c r="A719" s="398"/>
      <c r="B719" s="385"/>
      <c r="C719" s="735"/>
      <c r="D719" s="500" t="s">
        <v>27</v>
      </c>
      <c r="E719" s="2465" t="s">
        <v>2556</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385"/>
      <c r="AD719" s="385"/>
      <c r="AE719" s="385"/>
      <c r="AF719" s="2452" t="s">
        <v>2514</v>
      </c>
      <c r="AG719" s="2452"/>
      <c r="AH719" s="2452"/>
      <c r="AI719" s="2452"/>
      <c r="AJ719" s="2452"/>
      <c r="AK719" s="2452"/>
      <c r="AL719" s="2452"/>
      <c r="AM719" s="398"/>
      <c r="AN719" s="521"/>
    </row>
    <row r="720" spans="1:43" s="416" customFormat="1" ht="12.75" customHeight="1">
      <c r="A720" s="398"/>
      <c r="B720" s="385"/>
      <c r="C720" s="737"/>
      <c r="D720" s="385"/>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385"/>
      <c r="AD720" s="385"/>
      <c r="AE720" s="385"/>
      <c r="AF720" s="385"/>
      <c r="AG720" s="385"/>
      <c r="AH720" s="385"/>
      <c r="AI720" s="385"/>
      <c r="AJ720" s="385"/>
      <c r="AK720" s="385"/>
      <c r="AL720" s="385"/>
      <c r="AM720" s="398"/>
      <c r="AN720" s="520"/>
      <c r="AP720" s="398" t="s">
        <v>800</v>
      </c>
      <c r="AQ720" s="510">
        <v>0</v>
      </c>
    </row>
    <row r="721" spans="1:81" s="416" customFormat="1" ht="14.15" customHeight="1">
      <c r="A721" s="398"/>
      <c r="B721" s="385"/>
      <c r="C721" s="737"/>
      <c r="D721" s="385"/>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385"/>
      <c r="AD721" s="385"/>
      <c r="AE721" s="385"/>
      <c r="AF721" s="385"/>
      <c r="AG721" s="385"/>
      <c r="AH721" s="385"/>
      <c r="AI721" s="385"/>
      <c r="AJ721" s="385"/>
      <c r="AK721" s="385"/>
      <c r="AL721" s="385"/>
      <c r="AM721" s="398"/>
      <c r="AN721" s="520"/>
      <c r="AP721" s="452" t="s">
        <v>22</v>
      </c>
      <c r="AQ721" s="398">
        <v>3</v>
      </c>
    </row>
    <row r="722" spans="1:81" s="416" customFormat="1" ht="14.15" customHeight="1">
      <c r="A722" s="398"/>
      <c r="B722" s="385"/>
      <c r="C722" s="737"/>
      <c r="D722" s="385"/>
      <c r="E722" s="1138"/>
      <c r="F722" s="1138"/>
      <c r="G722" s="1138"/>
      <c r="H722" s="1138"/>
      <c r="I722" s="1138"/>
      <c r="J722" s="1138"/>
      <c r="K722" s="1138"/>
      <c r="L722" s="1138"/>
      <c r="M722" s="1138"/>
      <c r="N722" s="1138"/>
      <c r="O722" s="1138"/>
      <c r="P722" s="1138"/>
      <c r="Q722" s="1138"/>
      <c r="R722" s="1138"/>
      <c r="S722" s="1138"/>
      <c r="T722" s="1138"/>
      <c r="U722" s="1138"/>
      <c r="V722" s="1138"/>
      <c r="W722" s="1138"/>
      <c r="X722" s="1138"/>
      <c r="Y722" s="1138"/>
      <c r="Z722" s="1138"/>
      <c r="AA722" s="1138"/>
      <c r="AB722" s="1138"/>
      <c r="AC722" s="385"/>
      <c r="AD722" s="385"/>
      <c r="AE722" s="385"/>
      <c r="AF722" s="385"/>
      <c r="AG722" s="385"/>
      <c r="AH722" s="385"/>
      <c r="AI722" s="385"/>
      <c r="AJ722" s="385"/>
      <c r="AK722" s="385"/>
      <c r="AL722" s="385"/>
      <c r="AM722" s="398"/>
      <c r="AN722" s="520"/>
      <c r="AP722" s="452" t="s">
        <v>27</v>
      </c>
      <c r="AQ722" s="398">
        <v>2</v>
      </c>
    </row>
    <row r="723" spans="1:81" s="416" customFormat="1" ht="14.15" customHeight="1">
      <c r="A723" s="398"/>
      <c r="B723" s="385"/>
      <c r="C723" s="737"/>
      <c r="D723" s="385" t="s">
        <v>2500</v>
      </c>
      <c r="E723" s="1137"/>
      <c r="F723" s="1137"/>
      <c r="G723" s="1137"/>
      <c r="H723" s="2376" t="s">
        <v>800</v>
      </c>
      <c r="I723" s="2376"/>
      <c r="J723" s="1138"/>
      <c r="K723" s="1138"/>
      <c r="L723" s="1138"/>
      <c r="M723" s="1138"/>
      <c r="N723" s="1138"/>
      <c r="O723" s="1138"/>
      <c r="P723" s="1138"/>
      <c r="Q723" s="1138"/>
      <c r="R723" s="1138"/>
      <c r="S723" s="1138"/>
      <c r="T723" s="1138"/>
      <c r="U723" s="1138"/>
      <c r="V723" s="1138"/>
      <c r="W723" s="1138"/>
      <c r="X723" s="1138"/>
      <c r="Y723" s="1138"/>
      <c r="Z723" s="1138"/>
      <c r="AA723" s="1138"/>
      <c r="AB723" s="1138"/>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138"/>
      <c r="F724" s="1138"/>
      <c r="G724" s="1138"/>
      <c r="H724" s="1138"/>
      <c r="I724" s="1138"/>
      <c r="J724" s="1138"/>
      <c r="K724" s="1138"/>
      <c r="L724" s="1138"/>
      <c r="M724" s="1138"/>
      <c r="N724" s="1138"/>
      <c r="O724" s="1138"/>
      <c r="P724" s="1138"/>
      <c r="Q724" s="1138"/>
      <c r="R724" s="1138"/>
      <c r="S724" s="1138"/>
      <c r="T724" s="1138"/>
      <c r="U724" s="1138"/>
      <c r="V724" s="1138"/>
      <c r="W724" s="1138"/>
      <c r="X724" s="1138"/>
      <c r="Y724" s="1138"/>
      <c r="Z724" s="1138"/>
      <c r="AA724" s="1138"/>
      <c r="AB724" s="1138"/>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2557</v>
      </c>
      <c r="AJ725" s="2359">
        <f>VLOOKUP($H$723,$AP$720:$AQ$722,2,FALSE)</f>
        <v>0</v>
      </c>
      <c r="AK725" s="2361"/>
      <c r="AL725" s="437"/>
      <c r="AM725" s="398"/>
      <c r="AN725" s="520"/>
      <c r="AP725" s="2359"/>
      <c r="AQ725" s="2361"/>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ht="13">
      <c r="A727" s="398"/>
      <c r="B727" s="385"/>
      <c r="C727" s="388" t="s">
        <v>2558</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ht="13">
      <c r="A729" s="398"/>
      <c r="B729" s="385"/>
      <c r="C729" s="735"/>
      <c r="D729" s="500" t="s">
        <v>22</v>
      </c>
      <c r="E729" s="2352" t="s">
        <v>2559</v>
      </c>
      <c r="F729" s="2352"/>
      <c r="G729" s="2352"/>
      <c r="H729" s="2352"/>
      <c r="I729" s="2352"/>
      <c r="J729" s="2352"/>
      <c r="K729" s="2352"/>
      <c r="L729" s="2352"/>
      <c r="M729" s="2352"/>
      <c r="N729" s="2352"/>
      <c r="O729" s="2352"/>
      <c r="P729" s="2352"/>
      <c r="Q729" s="2352"/>
      <c r="R729" s="2352"/>
      <c r="S729" s="2352"/>
      <c r="T729" s="2352"/>
      <c r="U729" s="2352"/>
      <c r="V729" s="2352"/>
      <c r="W729" s="2352"/>
      <c r="X729" s="2352"/>
      <c r="Y729" s="2352"/>
      <c r="Z729" s="2352"/>
      <c r="AA729" s="2352"/>
      <c r="AB729" s="2352"/>
      <c r="AC729" s="385"/>
      <c r="AD729" s="385"/>
      <c r="AE729" s="385"/>
      <c r="AF729" s="2452" t="s">
        <v>2226</v>
      </c>
      <c r="AG729" s="2452"/>
      <c r="AH729" s="2452"/>
      <c r="AI729" s="2452"/>
      <c r="AJ729" s="2452"/>
      <c r="AK729" s="2452"/>
      <c r="AL729" s="2452"/>
      <c r="AM729" s="398"/>
      <c r="AN729" s="520"/>
      <c r="AT729" s="11"/>
      <c r="AU729" s="11"/>
      <c r="AV729" s="11"/>
      <c r="AW729" s="11"/>
      <c r="AX729" s="11"/>
      <c r="AY729" s="11"/>
      <c r="AZ729" s="11"/>
    </row>
    <row r="730" spans="1:81" s="416" customFormat="1" ht="13">
      <c r="A730" s="398"/>
      <c r="B730" s="385"/>
      <c r="C730" s="737"/>
      <c r="D730" s="500"/>
      <c r="E730" s="2352"/>
      <c r="F730" s="2352"/>
      <c r="G730" s="2352"/>
      <c r="H730" s="2352"/>
      <c r="I730" s="2352"/>
      <c r="J730" s="2352"/>
      <c r="K730" s="2352"/>
      <c r="L730" s="2352"/>
      <c r="M730" s="2352"/>
      <c r="N730" s="2352"/>
      <c r="O730" s="2352"/>
      <c r="P730" s="2352"/>
      <c r="Q730" s="2352"/>
      <c r="R730" s="2352"/>
      <c r="S730" s="2352"/>
      <c r="T730" s="2352"/>
      <c r="U730" s="2352"/>
      <c r="V730" s="2352"/>
      <c r="W730" s="2352"/>
      <c r="X730" s="2352"/>
      <c r="Y730" s="2352"/>
      <c r="Z730" s="2352"/>
      <c r="AA730" s="2352"/>
      <c r="AB730" s="2352"/>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352" t="s">
        <v>2560</v>
      </c>
      <c r="F732" s="2352"/>
      <c r="G732" s="2352"/>
      <c r="H732" s="2352"/>
      <c r="I732" s="2352"/>
      <c r="J732" s="2352"/>
      <c r="K732" s="2352"/>
      <c r="L732" s="2352"/>
      <c r="M732" s="2352"/>
      <c r="N732" s="2352"/>
      <c r="O732" s="2352"/>
      <c r="P732" s="2352"/>
      <c r="Q732" s="2352"/>
      <c r="R732" s="2352"/>
      <c r="S732" s="2352"/>
      <c r="T732" s="2352"/>
      <c r="U732" s="2352"/>
      <c r="V732" s="2352"/>
      <c r="W732" s="2352"/>
      <c r="X732" s="2352"/>
      <c r="Y732" s="2352"/>
      <c r="Z732" s="2352"/>
      <c r="AA732" s="2352"/>
      <c r="AB732" s="2352"/>
      <c r="AC732" s="385"/>
      <c r="AD732" s="385"/>
      <c r="AE732" s="385"/>
      <c r="AF732" s="2452" t="s">
        <v>2514</v>
      </c>
      <c r="AG732" s="2452"/>
      <c r="AH732" s="2452"/>
      <c r="AI732" s="2452"/>
      <c r="AJ732" s="2452"/>
      <c r="AK732" s="2452"/>
      <c r="AL732" s="2452"/>
      <c r="AM732" s="398"/>
      <c r="AN732" s="520"/>
      <c r="AT732" s="11"/>
      <c r="AU732" s="11"/>
      <c r="AV732" s="11"/>
      <c r="AW732" s="11"/>
      <c r="AX732" s="11"/>
      <c r="AY732" s="11"/>
      <c r="AZ732" s="11"/>
    </row>
    <row r="733" spans="1:81" s="416" customFormat="1" ht="13">
      <c r="A733" s="398"/>
      <c r="B733" s="385"/>
      <c r="C733" s="737"/>
      <c r="D733" s="385"/>
      <c r="E733" s="2352"/>
      <c r="F733" s="2352"/>
      <c r="G733" s="2352"/>
      <c r="H733" s="2352"/>
      <c r="I733" s="2352"/>
      <c r="J733" s="2352"/>
      <c r="K733" s="2352"/>
      <c r="L733" s="2352"/>
      <c r="M733" s="2352"/>
      <c r="N733" s="2352"/>
      <c r="O733" s="2352"/>
      <c r="P733" s="2352"/>
      <c r="Q733" s="2352"/>
      <c r="R733" s="2352"/>
      <c r="S733" s="2352"/>
      <c r="T733" s="2352"/>
      <c r="U733" s="2352"/>
      <c r="V733" s="2352"/>
      <c r="W733" s="2352"/>
      <c r="X733" s="2352"/>
      <c r="Y733" s="2352"/>
      <c r="Z733" s="2352"/>
      <c r="AA733" s="2352"/>
      <c r="AB733" s="2352"/>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ht="13">
      <c r="A734" s="398"/>
      <c r="B734" s="385"/>
      <c r="C734" s="737"/>
      <c r="D734" s="385"/>
      <c r="E734" s="1125"/>
      <c r="F734" s="1125"/>
      <c r="G734" s="1125"/>
      <c r="H734" s="1125"/>
      <c r="I734" s="1125"/>
      <c r="J734" s="1125"/>
      <c r="K734" s="1125"/>
      <c r="L734" s="1125"/>
      <c r="M734" s="1125"/>
      <c r="N734" s="1125"/>
      <c r="O734" s="1125"/>
      <c r="P734" s="1125"/>
      <c r="Q734" s="1125"/>
      <c r="R734" s="1125"/>
      <c r="S734" s="1125"/>
      <c r="T734" s="1125"/>
      <c r="U734" s="1125"/>
      <c r="V734" s="1125"/>
      <c r="W734" s="1125"/>
      <c r="X734" s="1125"/>
      <c r="Y734" s="1125"/>
      <c r="Z734" s="1125"/>
      <c r="AA734" s="1125"/>
      <c r="AB734" s="1125"/>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2500</v>
      </c>
      <c r="E735" s="1137"/>
      <c r="F735" s="1137"/>
      <c r="G735" s="1137"/>
      <c r="H735" s="2376" t="s">
        <v>800</v>
      </c>
      <c r="I735" s="2376"/>
      <c r="J735" s="1125"/>
      <c r="K735" s="1125"/>
      <c r="L735" s="1125"/>
      <c r="M735" s="1125"/>
      <c r="N735" s="1125"/>
      <c r="O735" s="1125"/>
      <c r="P735" s="1125"/>
      <c r="Q735" s="1125"/>
      <c r="R735" s="1125"/>
      <c r="S735" s="1125"/>
      <c r="T735" s="1125"/>
      <c r="U735" s="1125"/>
      <c r="V735" s="1125"/>
      <c r="W735" s="1125"/>
      <c r="X735" s="1125"/>
      <c r="Y735" s="1125"/>
      <c r="Z735" s="1125"/>
      <c r="AA735" s="1125"/>
      <c r="AB735" s="1125"/>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ht="13">
      <c r="A736" s="398"/>
      <c r="B736" s="385"/>
      <c r="C736" s="737"/>
      <c r="D736" s="385"/>
      <c r="E736" s="1125"/>
      <c r="F736" s="1125"/>
      <c r="G736" s="1125"/>
      <c r="H736" s="1125"/>
      <c r="I736" s="1125"/>
      <c r="J736" s="1125"/>
      <c r="K736" s="1125"/>
      <c r="L736" s="1125"/>
      <c r="M736" s="1125"/>
      <c r="N736" s="1125"/>
      <c r="O736" s="1125"/>
      <c r="P736" s="1125"/>
      <c r="Q736" s="1125"/>
      <c r="R736" s="1125"/>
      <c r="S736" s="1125"/>
      <c r="T736" s="1125"/>
      <c r="U736" s="1125"/>
      <c r="V736" s="1125"/>
      <c r="W736" s="1125"/>
      <c r="X736" s="1125"/>
      <c r="Y736" s="1125"/>
      <c r="Z736" s="1125"/>
      <c r="AA736" s="1125"/>
      <c r="AB736" s="1125"/>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ht="13">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2561</v>
      </c>
      <c r="AJ737" s="2359">
        <f>VLOOKUP($H$735,$AO$666:$AP$668,2,FALSE)</f>
        <v>0</v>
      </c>
      <c r="AK737" s="2361"/>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25"/>
      <c r="K738" s="1125"/>
      <c r="L738" s="1125"/>
      <c r="M738" s="112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2562</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ht="13">
      <c r="A741" s="398"/>
      <c r="B741" s="385"/>
      <c r="C741" s="735"/>
      <c r="D741" s="500" t="s">
        <v>22</v>
      </c>
      <c r="E741" s="2352" t="s">
        <v>2563</v>
      </c>
      <c r="F741" s="2352"/>
      <c r="G741" s="2352"/>
      <c r="H741" s="2352"/>
      <c r="I741" s="2352"/>
      <c r="J741" s="2352"/>
      <c r="K741" s="2352"/>
      <c r="L741" s="2352"/>
      <c r="M741" s="2352"/>
      <c r="N741" s="2352"/>
      <c r="O741" s="2352"/>
      <c r="P741" s="2352"/>
      <c r="Q741" s="2352"/>
      <c r="R741" s="2352"/>
      <c r="S741" s="2352"/>
      <c r="T741" s="2352"/>
      <c r="U741" s="2352"/>
      <c r="V741" s="2352"/>
      <c r="W741" s="2352"/>
      <c r="X741" s="2352"/>
      <c r="Y741" s="2352"/>
      <c r="Z741" s="2352"/>
      <c r="AA741" s="2352"/>
      <c r="AB741" s="2352"/>
      <c r="AC741" s="385"/>
      <c r="AD741" s="385"/>
      <c r="AE741" s="385"/>
      <c r="AF741" s="2452" t="s">
        <v>2226</v>
      </c>
      <c r="AG741" s="2452"/>
      <c r="AH741" s="2452"/>
      <c r="AI741" s="2452"/>
      <c r="AJ741" s="2452"/>
      <c r="AK741" s="2452"/>
      <c r="AL741" s="2452"/>
      <c r="AM741" s="398"/>
      <c r="AN741" s="520"/>
      <c r="AT741" s="11"/>
      <c r="AU741" s="11"/>
      <c r="AV741" s="11"/>
      <c r="AW741" s="11"/>
      <c r="AX741" s="11"/>
      <c r="AY741" s="11"/>
      <c r="AZ741" s="11"/>
    </row>
    <row r="742" spans="1:81" s="416" customFormat="1" ht="13">
      <c r="A742" s="398"/>
      <c r="B742" s="385"/>
      <c r="C742" s="735"/>
      <c r="D742" s="500"/>
      <c r="E742" s="2352"/>
      <c r="F742" s="2352"/>
      <c r="G742" s="2352"/>
      <c r="H742" s="2352"/>
      <c r="I742" s="2352"/>
      <c r="J742" s="2352"/>
      <c r="K742" s="2352"/>
      <c r="L742" s="2352"/>
      <c r="M742" s="2352"/>
      <c r="N742" s="2352"/>
      <c r="O742" s="2352"/>
      <c r="P742" s="2352"/>
      <c r="Q742" s="2352"/>
      <c r="R742" s="2352"/>
      <c r="S742" s="2352"/>
      <c r="T742" s="2352"/>
      <c r="U742" s="2352"/>
      <c r="V742" s="2352"/>
      <c r="W742" s="2352"/>
      <c r="X742" s="2352"/>
      <c r="Y742" s="2352"/>
      <c r="Z742" s="2352"/>
      <c r="AA742" s="2352"/>
      <c r="AB742" s="2352"/>
      <c r="AC742" s="385"/>
      <c r="AD742" s="385"/>
      <c r="AE742" s="385"/>
      <c r="AF742" s="1118"/>
      <c r="AG742" s="1118"/>
      <c r="AH742" s="1118"/>
      <c r="AI742" s="1118"/>
      <c r="AJ742" s="1118"/>
      <c r="AK742" s="1118"/>
      <c r="AL742" s="1118"/>
      <c r="AM742" s="398"/>
      <c r="AN742" s="520"/>
      <c r="AT742" s="11"/>
      <c r="AU742" s="11"/>
      <c r="AV742" s="11"/>
      <c r="AW742" s="11"/>
      <c r="AX742" s="11"/>
      <c r="AY742" s="11"/>
      <c r="AZ742" s="11"/>
    </row>
    <row r="743" spans="1:81" s="416" customFormat="1" ht="13">
      <c r="A743" s="398"/>
      <c r="B743" s="385"/>
      <c r="C743" s="737"/>
      <c r="D743" s="500"/>
      <c r="E743" s="2352"/>
      <c r="F743" s="2352"/>
      <c r="G743" s="2352"/>
      <c r="H743" s="2352"/>
      <c r="I743" s="2352"/>
      <c r="J743" s="2352"/>
      <c r="K743" s="2352"/>
      <c r="L743" s="2352"/>
      <c r="M743" s="2352"/>
      <c r="N743" s="2352"/>
      <c r="O743" s="2352"/>
      <c r="P743" s="2352"/>
      <c r="Q743" s="2352"/>
      <c r="R743" s="2352"/>
      <c r="S743" s="2352"/>
      <c r="T743" s="2352"/>
      <c r="U743" s="2352"/>
      <c r="V743" s="2352"/>
      <c r="W743" s="2352"/>
      <c r="X743" s="2352"/>
      <c r="Y743" s="2352"/>
      <c r="Z743" s="2352"/>
      <c r="AA743" s="2352"/>
      <c r="AB743" s="2352"/>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352"/>
      <c r="F744" s="2352"/>
      <c r="G744" s="2352"/>
      <c r="H744" s="2352"/>
      <c r="I744" s="2352"/>
      <c r="J744" s="2352"/>
      <c r="K744" s="2352"/>
      <c r="L744" s="2352"/>
      <c r="M744" s="2352"/>
      <c r="N744" s="2352"/>
      <c r="O744" s="2352"/>
      <c r="P744" s="2352"/>
      <c r="Q744" s="2352"/>
      <c r="R744" s="2352"/>
      <c r="S744" s="2352"/>
      <c r="T744" s="2352"/>
      <c r="U744" s="2352"/>
      <c r="V744" s="2352"/>
      <c r="W744" s="2352"/>
      <c r="X744" s="2352"/>
      <c r="Y744" s="2352"/>
      <c r="Z744" s="2352"/>
      <c r="AA744" s="2352"/>
      <c r="AB744" s="2352"/>
      <c r="AC744" s="385"/>
      <c r="AD744" s="385"/>
      <c r="AE744" s="385"/>
      <c r="AF744" s="385"/>
      <c r="AG744" s="385"/>
      <c r="AH744" s="385"/>
      <c r="AI744" s="385"/>
      <c r="AJ744" s="385"/>
      <c r="AK744" s="385"/>
      <c r="AL744" s="385"/>
      <c r="AM744" s="398"/>
      <c r="AN744" s="383"/>
      <c r="AO744" s="11"/>
    </row>
    <row r="745" spans="1:81" s="416" customFormat="1">
      <c r="A745" s="1135"/>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ht="13">
      <c r="A746" s="398"/>
      <c r="B746" s="385"/>
      <c r="C746" s="735"/>
      <c r="D746" s="500" t="s">
        <v>27</v>
      </c>
      <c r="E746" s="2352" t="s">
        <v>2564</v>
      </c>
      <c r="F746" s="2352"/>
      <c r="G746" s="2352"/>
      <c r="H746" s="2352"/>
      <c r="I746" s="2352"/>
      <c r="J746" s="2352"/>
      <c r="K746" s="2352"/>
      <c r="L746" s="2352"/>
      <c r="M746" s="2352"/>
      <c r="N746" s="2352"/>
      <c r="O746" s="2352"/>
      <c r="P746" s="2352"/>
      <c r="Q746" s="2352"/>
      <c r="R746" s="2352"/>
      <c r="S746" s="2352"/>
      <c r="T746" s="2352"/>
      <c r="U746" s="2352"/>
      <c r="V746" s="2352"/>
      <c r="W746" s="2352"/>
      <c r="X746" s="2352"/>
      <c r="Y746" s="2352"/>
      <c r="Z746" s="2352"/>
      <c r="AA746" s="2352"/>
      <c r="AB746" s="420"/>
      <c r="AC746" s="385"/>
      <c r="AD746" s="385"/>
      <c r="AE746" s="385"/>
      <c r="AF746" s="2452" t="s">
        <v>2514</v>
      </c>
      <c r="AG746" s="2452"/>
      <c r="AH746" s="2452"/>
      <c r="AI746" s="2452"/>
      <c r="AJ746" s="2452"/>
      <c r="AK746" s="2452"/>
      <c r="AL746" s="2452"/>
      <c r="AM746" s="398"/>
      <c r="AN746" s="520"/>
      <c r="AO746" s="23"/>
      <c r="AP746" s="11"/>
    </row>
    <row r="747" spans="1:81" s="416" customFormat="1" ht="13">
      <c r="A747" s="398"/>
      <c r="B747" s="385"/>
      <c r="C747" s="735"/>
      <c r="D747" s="500"/>
      <c r="E747" s="2352"/>
      <c r="F747" s="2352"/>
      <c r="G747" s="2352"/>
      <c r="H747" s="2352"/>
      <c r="I747" s="2352"/>
      <c r="J747" s="2352"/>
      <c r="K747" s="2352"/>
      <c r="L747" s="2352"/>
      <c r="M747" s="2352"/>
      <c r="N747" s="2352"/>
      <c r="O747" s="2352"/>
      <c r="P747" s="2352"/>
      <c r="Q747" s="2352"/>
      <c r="R747" s="2352"/>
      <c r="S747" s="2352"/>
      <c r="T747" s="2352"/>
      <c r="U747" s="2352"/>
      <c r="V747" s="2352"/>
      <c r="W747" s="2352"/>
      <c r="X747" s="2352"/>
      <c r="Y747" s="2352"/>
      <c r="Z747" s="2352"/>
      <c r="AA747" s="2352"/>
      <c r="AB747" s="420"/>
      <c r="AC747" s="385"/>
      <c r="AD747" s="385"/>
      <c r="AE747" s="385"/>
      <c r="AF747" s="1118"/>
      <c r="AG747" s="1118"/>
      <c r="AH747" s="1118"/>
      <c r="AI747" s="1118"/>
      <c r="AJ747" s="1118"/>
      <c r="AK747" s="1118"/>
      <c r="AL747" s="1118"/>
      <c r="AM747" s="398"/>
      <c r="AN747" s="520"/>
      <c r="AO747" s="23"/>
      <c r="AP747" s="11"/>
    </row>
    <row r="748" spans="1:81" s="416" customFormat="1" ht="13">
      <c r="A748" s="398"/>
      <c r="B748" s="385"/>
      <c r="C748" s="735"/>
      <c r="D748" s="385"/>
      <c r="E748" s="2352"/>
      <c r="F748" s="2352"/>
      <c r="G748" s="2352"/>
      <c r="H748" s="2352"/>
      <c r="I748" s="2352"/>
      <c r="J748" s="2352"/>
      <c r="K748" s="2352"/>
      <c r="L748" s="2352"/>
      <c r="M748" s="2352"/>
      <c r="N748" s="2352"/>
      <c r="O748" s="2352"/>
      <c r="P748" s="2352"/>
      <c r="Q748" s="2352"/>
      <c r="R748" s="2352"/>
      <c r="S748" s="2352"/>
      <c r="T748" s="2352"/>
      <c r="U748" s="2352"/>
      <c r="V748" s="2352"/>
      <c r="W748" s="2352"/>
      <c r="X748" s="2352"/>
      <c r="Y748" s="2352"/>
      <c r="Z748" s="2352"/>
      <c r="AA748" s="2352"/>
      <c r="AB748" s="420"/>
      <c r="AC748" s="1118"/>
      <c r="AD748" s="1118"/>
      <c r="AE748" s="1118"/>
      <c r="AF748" s="1118"/>
      <c r="AG748" s="1118"/>
      <c r="AH748" s="1118"/>
      <c r="AI748" s="1118"/>
      <c r="AJ748" s="385"/>
      <c r="AK748" s="385"/>
      <c r="AL748" s="385"/>
      <c r="AM748" s="398"/>
      <c r="AN748" s="520"/>
      <c r="AO748" s="23"/>
      <c r="AP748" s="11"/>
    </row>
    <row r="749" spans="1:81" s="416" customFormat="1" ht="13">
      <c r="A749" s="398"/>
      <c r="B749" s="385"/>
      <c r="C749" s="735"/>
      <c r="D749" s="385"/>
      <c r="E749" s="2352"/>
      <c r="F749" s="2352"/>
      <c r="G749" s="2352"/>
      <c r="H749" s="2352"/>
      <c r="I749" s="2352"/>
      <c r="J749" s="2352"/>
      <c r="K749" s="2352"/>
      <c r="L749" s="2352"/>
      <c r="M749" s="2352"/>
      <c r="N749" s="2352"/>
      <c r="O749" s="2352"/>
      <c r="P749" s="2352"/>
      <c r="Q749" s="2352"/>
      <c r="R749" s="2352"/>
      <c r="S749" s="2352"/>
      <c r="T749" s="2352"/>
      <c r="U749" s="2352"/>
      <c r="V749" s="2352"/>
      <c r="W749" s="2352"/>
      <c r="X749" s="2352"/>
      <c r="Y749" s="2352"/>
      <c r="Z749" s="2352"/>
      <c r="AA749" s="2352"/>
      <c r="AB749" s="420"/>
      <c r="AC749" s="1118"/>
      <c r="AD749" s="1118"/>
      <c r="AE749" s="1118"/>
      <c r="AF749" s="1118"/>
      <c r="AG749" s="1118"/>
      <c r="AH749" s="1118"/>
      <c r="AI749" s="1118"/>
      <c r="AJ749" s="385"/>
      <c r="AK749" s="385"/>
      <c r="AL749" s="385"/>
      <c r="AM749" s="398"/>
      <c r="AN749" s="520"/>
      <c r="AO749" s="23"/>
      <c r="AP749" s="11"/>
    </row>
    <row r="750" spans="1:81" s="416" customFormat="1" ht="13">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118"/>
      <c r="AD750" s="1118"/>
      <c r="AE750" s="1118"/>
      <c r="AF750" s="1118"/>
      <c r="AG750" s="1118"/>
      <c r="AH750" s="1118"/>
      <c r="AI750" s="1118"/>
      <c r="AJ750" s="385"/>
      <c r="AK750" s="385"/>
      <c r="AL750" s="385"/>
      <c r="AM750" s="398"/>
      <c r="AN750" s="520"/>
    </row>
    <row r="751" spans="1:81" s="416" customFormat="1" ht="12.75" customHeight="1">
      <c r="A751" s="398"/>
      <c r="B751" s="385"/>
      <c r="C751" s="735"/>
      <c r="D751" s="385" t="s">
        <v>2500</v>
      </c>
      <c r="E751" s="1137"/>
      <c r="F751" s="1137"/>
      <c r="G751" s="1137"/>
      <c r="H751" s="2376" t="s">
        <v>22</v>
      </c>
      <c r="I751" s="2376"/>
      <c r="J751" s="481"/>
      <c r="K751" s="481"/>
      <c r="L751" s="481"/>
      <c r="M751" s="481"/>
      <c r="N751" s="481"/>
      <c r="O751" s="481"/>
      <c r="P751" s="481"/>
      <c r="Q751" s="481"/>
      <c r="R751" s="481"/>
      <c r="S751" s="481"/>
      <c r="T751" s="481"/>
      <c r="U751" s="481"/>
      <c r="V751" s="481"/>
      <c r="W751" s="481"/>
      <c r="X751" s="481"/>
      <c r="Y751" s="481"/>
      <c r="Z751" s="481"/>
      <c r="AA751" s="481"/>
      <c r="AB751" s="481"/>
      <c r="AC751" s="1118"/>
      <c r="AD751" s="1118"/>
      <c r="AE751" s="1118"/>
      <c r="AF751" s="1118"/>
      <c r="AG751" s="1118"/>
      <c r="AH751" s="1118"/>
      <c r="AI751" s="1118"/>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118"/>
      <c r="AD752" s="1118"/>
      <c r="AE752" s="1118"/>
      <c r="AF752" s="1118"/>
      <c r="AG752" s="1118"/>
      <c r="AH752" s="1118"/>
      <c r="AI752" s="1118"/>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ht="13">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2565</v>
      </c>
      <c r="AJ753" s="2359">
        <f>VLOOKUP($H$751,$AO$680:$AP$682,2,FALSE)</f>
        <v>3</v>
      </c>
      <c r="AK753" s="2361"/>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25"/>
      <c r="M754" s="1125"/>
      <c r="N754" s="1125"/>
      <c r="O754" s="1125"/>
      <c r="P754" s="1125"/>
      <c r="Q754" s="1125"/>
      <c r="R754" s="1125"/>
      <c r="S754" s="1125"/>
      <c r="T754" s="1125"/>
      <c r="U754" s="1125"/>
      <c r="V754" s="456"/>
      <c r="W754" s="456"/>
      <c r="X754" s="456"/>
      <c r="Y754" s="456"/>
      <c r="Z754" s="1137"/>
      <c r="AA754" s="1137"/>
      <c r="AB754" s="1137"/>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ht="13">
      <c r="A755" s="398"/>
      <c r="B755" s="385"/>
      <c r="C755" s="388" t="s">
        <v>2554</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ht="13">
      <c r="A757" s="398"/>
      <c r="B757" s="385"/>
      <c r="C757" s="735"/>
      <c r="D757" s="500" t="s">
        <v>22</v>
      </c>
      <c r="E757" s="2352" t="s">
        <v>2566</v>
      </c>
      <c r="F757" s="2352"/>
      <c r="G757" s="2352"/>
      <c r="H757" s="2352"/>
      <c r="I757" s="2352"/>
      <c r="J757" s="2352"/>
      <c r="K757" s="2352"/>
      <c r="L757" s="2352"/>
      <c r="M757" s="2352"/>
      <c r="N757" s="2352"/>
      <c r="O757" s="2352"/>
      <c r="P757" s="2352"/>
      <c r="Q757" s="2352"/>
      <c r="R757" s="2352"/>
      <c r="S757" s="2352"/>
      <c r="T757" s="2352"/>
      <c r="U757" s="2352"/>
      <c r="V757" s="2352"/>
      <c r="W757" s="2352"/>
      <c r="X757" s="2352"/>
      <c r="Y757" s="2352"/>
      <c r="Z757" s="2352"/>
      <c r="AA757" s="2352"/>
      <c r="AB757" s="2352"/>
      <c r="AC757" s="385"/>
      <c r="AD757" s="385"/>
      <c r="AE757" s="385"/>
      <c r="AF757" s="2452" t="s">
        <v>2514</v>
      </c>
      <c r="AG757" s="2452"/>
      <c r="AH757" s="2452"/>
      <c r="AI757" s="2452"/>
      <c r="AJ757" s="2452"/>
      <c r="AK757" s="2452"/>
      <c r="AL757" s="2452"/>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ht="13">
      <c r="A758" s="398"/>
      <c r="B758" s="385"/>
      <c r="C758" s="737"/>
      <c r="D758" s="500"/>
      <c r="E758" s="2352"/>
      <c r="F758" s="2352"/>
      <c r="G758" s="2352"/>
      <c r="H758" s="2352"/>
      <c r="I758" s="2352"/>
      <c r="J758" s="2352"/>
      <c r="K758" s="2352"/>
      <c r="L758" s="2352"/>
      <c r="M758" s="2352"/>
      <c r="N758" s="2352"/>
      <c r="O758" s="2352"/>
      <c r="P758" s="2352"/>
      <c r="Q758" s="2352"/>
      <c r="R758" s="2352"/>
      <c r="S758" s="2352"/>
      <c r="T758" s="2352"/>
      <c r="U758" s="2352"/>
      <c r="V758" s="2352"/>
      <c r="W758" s="2352"/>
      <c r="X758" s="2352"/>
      <c r="Y758" s="2352"/>
      <c r="Z758" s="2352"/>
      <c r="AA758" s="2352"/>
      <c r="AB758" s="2352"/>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ht="13">
      <c r="A760" s="477"/>
      <c r="B760" s="385"/>
      <c r="C760" s="735"/>
      <c r="D760" s="500" t="s">
        <v>27</v>
      </c>
      <c r="E760" s="2352" t="s">
        <v>2567</v>
      </c>
      <c r="F760" s="2352"/>
      <c r="G760" s="2352"/>
      <c r="H760" s="2352"/>
      <c r="I760" s="2352"/>
      <c r="J760" s="2352"/>
      <c r="K760" s="2352"/>
      <c r="L760" s="2352"/>
      <c r="M760" s="2352"/>
      <c r="N760" s="2352"/>
      <c r="O760" s="2352"/>
      <c r="P760" s="2352"/>
      <c r="Q760" s="2352"/>
      <c r="R760" s="2352"/>
      <c r="S760" s="2352"/>
      <c r="T760" s="2352"/>
      <c r="U760" s="2352"/>
      <c r="V760" s="2352"/>
      <c r="W760" s="2352"/>
      <c r="X760" s="2352"/>
      <c r="Y760" s="2352"/>
      <c r="Z760" s="2352"/>
      <c r="AA760" s="2352"/>
      <c r="AB760" s="2352"/>
      <c r="AC760" s="385"/>
      <c r="AD760" s="385"/>
      <c r="AE760" s="385"/>
      <c r="AF760" s="2452" t="s">
        <v>2532</v>
      </c>
      <c r="AG760" s="2452"/>
      <c r="AH760" s="2452"/>
      <c r="AI760" s="2452"/>
      <c r="AJ760" s="2452"/>
      <c r="AK760" s="2452"/>
      <c r="AL760" s="2452"/>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352"/>
      <c r="F761" s="2352"/>
      <c r="G761" s="2352"/>
      <c r="H761" s="2352"/>
      <c r="I761" s="2352"/>
      <c r="J761" s="2352"/>
      <c r="K761" s="2352"/>
      <c r="L761" s="2352"/>
      <c r="M761" s="2352"/>
      <c r="N761" s="2352"/>
      <c r="O761" s="2352"/>
      <c r="P761" s="2352"/>
      <c r="Q761" s="2352"/>
      <c r="R761" s="2352"/>
      <c r="S761" s="2352"/>
      <c r="T761" s="2352"/>
      <c r="U761" s="2352"/>
      <c r="V761" s="2352"/>
      <c r="W761" s="2352"/>
      <c r="X761" s="2352"/>
      <c r="Y761" s="2352"/>
      <c r="Z761" s="2352"/>
      <c r="AA761" s="2352"/>
      <c r="AB761" s="2352"/>
      <c r="AC761" s="385"/>
      <c r="AD761" s="385"/>
      <c r="AE761" s="1118"/>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ht="13">
      <c r="A762" s="398"/>
      <c r="B762" s="385"/>
      <c r="C762" s="737"/>
      <c r="D762" s="385"/>
      <c r="E762" s="1125"/>
      <c r="F762" s="1125"/>
      <c r="G762" s="1125"/>
      <c r="H762" s="1125"/>
      <c r="I762" s="1125"/>
      <c r="J762" s="1125"/>
      <c r="K762" s="1125"/>
      <c r="L762" s="1125"/>
      <c r="M762" s="1125"/>
      <c r="N762" s="1125"/>
      <c r="O762" s="1125"/>
      <c r="P762" s="1125"/>
      <c r="Q762" s="1125"/>
      <c r="R762" s="1125"/>
      <c r="S762" s="1125"/>
      <c r="T762" s="1125"/>
      <c r="U762" s="1125"/>
      <c r="V762" s="1125"/>
      <c r="W762" s="1125"/>
      <c r="X762" s="1125"/>
      <c r="Y762" s="1125"/>
      <c r="Z762" s="1125"/>
      <c r="AA762" s="1125"/>
      <c r="AB762" s="1125"/>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2500</v>
      </c>
      <c r="E763" s="1137"/>
      <c r="F763" s="1137"/>
      <c r="G763" s="1137"/>
      <c r="H763" s="2376" t="s">
        <v>22</v>
      </c>
      <c r="I763" s="2376"/>
      <c r="J763" s="1125"/>
      <c r="K763" s="1125"/>
      <c r="L763" s="1125"/>
      <c r="M763" s="1125"/>
      <c r="N763" s="1125"/>
      <c r="O763" s="1125"/>
      <c r="P763" s="1125"/>
      <c r="Q763" s="385"/>
      <c r="R763" s="385"/>
      <c r="S763" s="385"/>
      <c r="T763" s="385"/>
      <c r="U763" s="385"/>
      <c r="V763" s="385"/>
      <c r="W763" s="1125"/>
      <c r="X763" s="1125"/>
      <c r="Y763" s="1125"/>
      <c r="Z763" s="1125"/>
      <c r="AA763" s="1125"/>
      <c r="AB763" s="1125"/>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4.15"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2568</v>
      </c>
      <c r="AJ765" s="2359">
        <f>VLOOKUP($H$763,$AO$697:$AP$699,2,FALSE)</f>
        <v>2</v>
      </c>
      <c r="AK765" s="2361"/>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ht="13">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112"/>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ht="13">
      <c r="A767" s="398"/>
      <c r="B767" s="456"/>
      <c r="C767" s="388" t="s">
        <v>2555</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12"/>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ht="13">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12"/>
      <c r="AJ768" s="437"/>
      <c r="AK768" s="437"/>
      <c r="AL768" s="437"/>
      <c r="AM768" s="398"/>
      <c r="AN768" s="520"/>
    </row>
    <row r="769" spans="1:81" s="416" customFormat="1" ht="13.75" customHeight="1">
      <c r="A769" s="398"/>
      <c r="B769" s="456"/>
      <c r="C769" s="743"/>
      <c r="D769" s="500" t="s">
        <v>22</v>
      </c>
      <c r="E769" s="2352" t="s">
        <v>2569</v>
      </c>
      <c r="F769" s="2352"/>
      <c r="G769" s="2352"/>
      <c r="H769" s="2352"/>
      <c r="I769" s="2352"/>
      <c r="J769" s="2352"/>
      <c r="K769" s="2352"/>
      <c r="L769" s="2352"/>
      <c r="M769" s="2352"/>
      <c r="N769" s="2352"/>
      <c r="O769" s="2352"/>
      <c r="P769" s="2352"/>
      <c r="Q769" s="2352"/>
      <c r="R769" s="2352"/>
      <c r="S769" s="2352"/>
      <c r="T769" s="2352"/>
      <c r="U769" s="2352"/>
      <c r="V769" s="2352"/>
      <c r="W769" s="2352"/>
      <c r="X769" s="2352"/>
      <c r="Y769" s="2352"/>
      <c r="Z769" s="2352"/>
      <c r="AA769" s="2352"/>
      <c r="AB769" s="2352"/>
      <c r="AC769" s="2352"/>
      <c r="AD769" s="2352"/>
      <c r="AE769" s="385"/>
      <c r="AF769" s="2452" t="s">
        <v>2514</v>
      </c>
      <c r="AG769" s="2452"/>
      <c r="AH769" s="2452"/>
      <c r="AI769" s="2452"/>
      <c r="AJ769" s="2452"/>
      <c r="AK769" s="2452"/>
      <c r="AL769" s="2452"/>
      <c r="AM769" s="454"/>
      <c r="AN769" s="520"/>
      <c r="AO769" s="398" t="s">
        <v>800</v>
      </c>
      <c r="AP769" s="510">
        <v>0</v>
      </c>
    </row>
    <row r="770" spans="1:81" s="416" customFormat="1" ht="13.75" customHeight="1">
      <c r="A770" s="398"/>
      <c r="B770" s="456"/>
      <c r="C770" s="743"/>
      <c r="D770" s="500"/>
      <c r="E770" s="2352"/>
      <c r="F770" s="2352"/>
      <c r="G770" s="2352"/>
      <c r="H770" s="2352"/>
      <c r="I770" s="2352"/>
      <c r="J770" s="2352"/>
      <c r="K770" s="2352"/>
      <c r="L770" s="2352"/>
      <c r="M770" s="2352"/>
      <c r="N770" s="2352"/>
      <c r="O770" s="2352"/>
      <c r="P770" s="2352"/>
      <c r="Q770" s="2352"/>
      <c r="R770" s="2352"/>
      <c r="S770" s="2352"/>
      <c r="T770" s="2352"/>
      <c r="U770" s="2352"/>
      <c r="V770" s="2352"/>
      <c r="W770" s="2352"/>
      <c r="X770" s="2352"/>
      <c r="Y770" s="2352"/>
      <c r="Z770" s="2352"/>
      <c r="AA770" s="2352"/>
      <c r="AB770" s="2352"/>
      <c r="AC770" s="2352"/>
      <c r="AD770" s="2352"/>
      <c r="AE770" s="385"/>
      <c r="AF770" s="1118"/>
      <c r="AG770" s="1118"/>
      <c r="AH770" s="1118"/>
      <c r="AI770" s="1118"/>
      <c r="AJ770" s="1118"/>
      <c r="AK770" s="1118"/>
      <c r="AL770" s="1118"/>
      <c r="AM770" s="454"/>
      <c r="AN770" s="520"/>
      <c r="AO770" s="452" t="s">
        <v>22</v>
      </c>
      <c r="AP770" s="398">
        <v>2</v>
      </c>
    </row>
    <row r="771" spans="1:81" s="416" customFormat="1" ht="13">
      <c r="A771" s="398"/>
      <c r="B771" s="456"/>
      <c r="C771" s="743"/>
      <c r="D771" s="500"/>
      <c r="E771" s="2352"/>
      <c r="F771" s="2352"/>
      <c r="G771" s="2352"/>
      <c r="H771" s="2352"/>
      <c r="I771" s="2352"/>
      <c r="J771" s="2352"/>
      <c r="K771" s="2352"/>
      <c r="L771" s="2352"/>
      <c r="M771" s="2352"/>
      <c r="N771" s="2352"/>
      <c r="O771" s="2352"/>
      <c r="P771" s="2352"/>
      <c r="Q771" s="2352"/>
      <c r="R771" s="2352"/>
      <c r="S771" s="2352"/>
      <c r="T771" s="2352"/>
      <c r="U771" s="2352"/>
      <c r="V771" s="2352"/>
      <c r="W771" s="2352"/>
      <c r="X771" s="2352"/>
      <c r="Y771" s="2352"/>
      <c r="Z771" s="2352"/>
      <c r="AA771" s="2352"/>
      <c r="AB771" s="2352"/>
      <c r="AC771" s="2352"/>
      <c r="AD771" s="2352"/>
      <c r="AE771" s="385"/>
      <c r="AF771" s="385"/>
      <c r="AG771" s="385"/>
      <c r="AH771" s="385"/>
      <c r="AI771" s="385"/>
      <c r="AJ771" s="385"/>
      <c r="AK771" s="385"/>
      <c r="AL771" s="1118"/>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649999999999999" customHeight="1">
      <c r="A772" s="398"/>
      <c r="B772" s="456"/>
      <c r="C772" s="743"/>
      <c r="D772" s="500"/>
      <c r="E772" s="2352"/>
      <c r="F772" s="2352"/>
      <c r="G772" s="2352"/>
      <c r="H772" s="2352"/>
      <c r="I772" s="2352"/>
      <c r="J772" s="2352"/>
      <c r="K772" s="2352"/>
      <c r="L772" s="2352"/>
      <c r="M772" s="2352"/>
      <c r="N772" s="2352"/>
      <c r="O772" s="2352"/>
      <c r="P772" s="2352"/>
      <c r="Q772" s="2352"/>
      <c r="R772" s="2352"/>
      <c r="S772" s="2352"/>
      <c r="T772" s="2352"/>
      <c r="U772" s="2352"/>
      <c r="V772" s="2352"/>
      <c r="W772" s="2352"/>
      <c r="X772" s="2352"/>
      <c r="Y772" s="2352"/>
      <c r="Z772" s="2352"/>
      <c r="AA772" s="2352"/>
      <c r="AB772" s="2352"/>
      <c r="AC772" s="2352"/>
      <c r="AD772" s="2352"/>
      <c r="AE772" s="1118"/>
      <c r="AF772" s="1118"/>
      <c r="AG772" s="1118"/>
      <c r="AH772" s="1118"/>
      <c r="AI772" s="1118"/>
      <c r="AJ772" s="1118"/>
      <c r="AK772" s="1118"/>
      <c r="AL772" s="1118"/>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111"/>
      <c r="F773" s="1111"/>
      <c r="G773" s="1111"/>
      <c r="H773" s="1111"/>
      <c r="I773" s="1111"/>
      <c r="J773" s="1111"/>
      <c r="K773" s="1111"/>
      <c r="L773" s="1111"/>
      <c r="M773" s="1111"/>
      <c r="N773" s="1111"/>
      <c r="O773" s="1111"/>
      <c r="P773" s="1111"/>
      <c r="Q773" s="1111"/>
      <c r="R773" s="1111"/>
      <c r="S773" s="1111"/>
      <c r="T773" s="1111"/>
      <c r="U773" s="1111"/>
      <c r="V773" s="1111"/>
      <c r="W773" s="1111"/>
      <c r="X773" s="1111"/>
      <c r="Y773" s="1111"/>
      <c r="Z773" s="1111"/>
      <c r="AA773" s="1111"/>
      <c r="AB773" s="1111"/>
      <c r="AC773" s="1111"/>
      <c r="AD773" s="1111"/>
      <c r="AE773" s="1118"/>
      <c r="AF773" s="385"/>
      <c r="AG773" s="385"/>
      <c r="AH773" s="385"/>
      <c r="AI773" s="385"/>
      <c r="AJ773" s="385"/>
      <c r="AK773" s="385"/>
      <c r="AL773" s="385"/>
      <c r="AM773" s="454"/>
      <c r="AN773" s="439"/>
    </row>
    <row r="774" spans="1:81" s="398" customFormat="1" ht="12.75" customHeight="1">
      <c r="B774" s="456"/>
      <c r="C774" s="743"/>
      <c r="D774" s="500" t="s">
        <v>27</v>
      </c>
      <c r="E774" s="2463" t="s">
        <v>2570</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385"/>
      <c r="AF774" s="2452" t="s">
        <v>2226</v>
      </c>
      <c r="AG774" s="2452"/>
      <c r="AH774" s="2452"/>
      <c r="AI774" s="2452"/>
      <c r="AJ774" s="2452"/>
      <c r="AK774" s="2452"/>
      <c r="AL774" s="2452"/>
      <c r="AM774" s="454"/>
      <c r="AN774" s="439"/>
    </row>
    <row r="775" spans="1:81" s="398" customFormat="1" ht="12.75" customHeight="1">
      <c r="B775" s="456"/>
      <c r="C775" s="743"/>
      <c r="D775" s="500"/>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1118"/>
      <c r="AF775" s="1118"/>
      <c r="AG775" s="1118"/>
      <c r="AH775" s="1118"/>
      <c r="AI775" s="1118"/>
      <c r="AJ775" s="1118"/>
      <c r="AK775" s="1118"/>
      <c r="AL775" s="1118"/>
      <c r="AM775" s="454"/>
      <c r="AN775" s="439"/>
    </row>
    <row r="776" spans="1:81" s="398" customFormat="1" ht="12.75" customHeight="1">
      <c r="B776" s="456"/>
      <c r="C776" s="743"/>
      <c r="D776" s="500"/>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1118"/>
      <c r="AF776" s="1118"/>
      <c r="AG776" s="1118"/>
      <c r="AH776" s="1118"/>
      <c r="AI776" s="1118"/>
      <c r="AJ776" s="1118"/>
      <c r="AK776" s="1118"/>
      <c r="AL776" s="1118"/>
      <c r="AM776" s="454"/>
      <c r="AN776" s="439"/>
    </row>
    <row r="777" spans="1:81" s="398" customFormat="1" ht="12.75" customHeight="1">
      <c r="B777" s="456"/>
      <c r="C777" s="743"/>
      <c r="D777" s="500"/>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1118"/>
      <c r="AF777" s="1118"/>
      <c r="AG777" s="1118"/>
      <c r="AH777" s="1118"/>
      <c r="AI777" s="1118"/>
      <c r="AJ777" s="1118"/>
      <c r="AK777" s="1118"/>
      <c r="AL777" s="1118"/>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2500</v>
      </c>
      <c r="E779" s="1137"/>
      <c r="F779" s="1137"/>
      <c r="G779" s="1137"/>
      <c r="H779" s="2376" t="s">
        <v>800</v>
      </c>
      <c r="I779" s="2376"/>
      <c r="J779" s="1125"/>
      <c r="K779" s="1125"/>
      <c r="L779" s="1125"/>
      <c r="M779" s="1125"/>
      <c r="N779" s="1125"/>
      <c r="O779" s="1125"/>
      <c r="P779" s="1125"/>
      <c r="Q779" s="1125"/>
      <c r="R779" s="1125"/>
      <c r="S779" s="1125"/>
      <c r="T779" s="1125"/>
      <c r="U779" s="1125"/>
      <c r="V779" s="1125"/>
      <c r="W779" s="1125"/>
      <c r="X779" s="1125"/>
      <c r="Y779" s="1125"/>
      <c r="Z779" s="1125"/>
      <c r="AA779" s="1125"/>
      <c r="AB779" s="1125"/>
      <c r="AC779" s="1125"/>
      <c r="AD779" s="1125"/>
      <c r="AE779" s="1125"/>
      <c r="AF779" s="1125"/>
      <c r="AG779" s="456"/>
      <c r="AH779" s="385"/>
      <c r="AI779" s="1112"/>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112"/>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2571</v>
      </c>
      <c r="AJ781" s="2359">
        <f>VLOOKUP($H$779,$AO$769:$AP$771,2,FALSE)</f>
        <v>0</v>
      </c>
      <c r="AK781" s="2361"/>
      <c r="AL781" s="437"/>
      <c r="AN781" s="439"/>
    </row>
    <row r="782" spans="1:81" s="416" customFormat="1" ht="13">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112"/>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ht="13">
      <c r="A783" s="398"/>
      <c r="B783" s="456"/>
      <c r="C783" s="388" t="s">
        <v>2572</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112"/>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800</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75" customHeight="1">
      <c r="A785" s="398"/>
      <c r="B785" s="456"/>
      <c r="C785" s="743"/>
      <c r="D785" s="500" t="s">
        <v>22</v>
      </c>
      <c r="E785" s="2352" t="s">
        <v>2573</v>
      </c>
      <c r="F785" s="2352"/>
      <c r="G785" s="2352"/>
      <c r="H785" s="2352"/>
      <c r="I785" s="2352"/>
      <c r="J785" s="2352"/>
      <c r="K785" s="2352"/>
      <c r="L785" s="2352"/>
      <c r="M785" s="2352"/>
      <c r="N785" s="2352"/>
      <c r="O785" s="2352"/>
      <c r="P785" s="2352"/>
      <c r="Q785" s="2352"/>
      <c r="R785" s="2352"/>
      <c r="S785" s="2352"/>
      <c r="T785" s="2352"/>
      <c r="U785" s="2352"/>
      <c r="V785" s="2352"/>
      <c r="W785" s="2352"/>
      <c r="X785" s="2352"/>
      <c r="Y785" s="2352"/>
      <c r="Z785" s="2352"/>
      <c r="AA785" s="2352"/>
      <c r="AB785" s="2352"/>
      <c r="AC785" s="2352"/>
      <c r="AD785" s="2352"/>
      <c r="AE785" s="385"/>
      <c r="AF785" s="2452" t="s">
        <v>2226</v>
      </c>
      <c r="AG785" s="2452"/>
      <c r="AH785" s="2452"/>
      <c r="AI785" s="2452"/>
      <c r="AJ785" s="2452"/>
      <c r="AK785" s="2452"/>
      <c r="AL785" s="2452"/>
      <c r="AM785" s="454"/>
      <c r="AN785" s="520"/>
      <c r="AO785" s="452" t="s">
        <v>847</v>
      </c>
      <c r="AP785" s="398">
        <v>3</v>
      </c>
      <c r="AT785" s="511"/>
      <c r="AU785" s="511"/>
      <c r="AV785" s="511"/>
      <c r="AW785" s="511"/>
      <c r="AX785" s="511"/>
      <c r="AY785" s="511"/>
      <c r="AZ785" s="511"/>
    </row>
    <row r="786" spans="1:81" s="416" customFormat="1" ht="13.75" customHeight="1">
      <c r="A786" s="398"/>
      <c r="B786" s="456"/>
      <c r="C786" s="743"/>
      <c r="D786" s="500"/>
      <c r="E786" s="2352"/>
      <c r="F786" s="2352"/>
      <c r="G786" s="2352"/>
      <c r="H786" s="2352"/>
      <c r="I786" s="2352"/>
      <c r="J786" s="2352"/>
      <c r="K786" s="2352"/>
      <c r="L786" s="2352"/>
      <c r="M786" s="2352"/>
      <c r="N786" s="2352"/>
      <c r="O786" s="2352"/>
      <c r="P786" s="2352"/>
      <c r="Q786" s="2352"/>
      <c r="R786" s="2352"/>
      <c r="S786" s="2352"/>
      <c r="T786" s="2352"/>
      <c r="U786" s="2352"/>
      <c r="V786" s="2352"/>
      <c r="W786" s="2352"/>
      <c r="X786" s="2352"/>
      <c r="Y786" s="2352"/>
      <c r="Z786" s="2352"/>
      <c r="AA786" s="2352"/>
      <c r="AB786" s="2352"/>
      <c r="AC786" s="2352"/>
      <c r="AD786" s="2352"/>
      <c r="AE786" s="385"/>
      <c r="AF786" s="1118"/>
      <c r="AG786" s="1118"/>
      <c r="AH786" s="1118"/>
      <c r="AI786" s="1118"/>
      <c r="AJ786" s="1118"/>
      <c r="AK786" s="1118"/>
      <c r="AL786" s="1118"/>
      <c r="AM786" s="454"/>
      <c r="AN786" s="520"/>
      <c r="AO786" s="452"/>
      <c r="AP786" s="398"/>
      <c r="AT786" s="511"/>
      <c r="AU786" s="511"/>
      <c r="AV786" s="511"/>
      <c r="AW786" s="511"/>
      <c r="AX786" s="511"/>
      <c r="AY786" s="511"/>
      <c r="AZ786" s="511"/>
    </row>
    <row r="787" spans="1:81" s="416" customFormat="1" ht="13">
      <c r="A787" s="398"/>
      <c r="B787" s="456"/>
      <c r="C787" s="743"/>
      <c r="D787" s="500"/>
      <c r="E787" s="2352"/>
      <c r="F787" s="2352"/>
      <c r="G787" s="2352"/>
      <c r="H787" s="2352"/>
      <c r="I787" s="2352"/>
      <c r="J787" s="2352"/>
      <c r="K787" s="2352"/>
      <c r="L787" s="2352"/>
      <c r="M787" s="2352"/>
      <c r="N787" s="2352"/>
      <c r="O787" s="2352"/>
      <c r="P787" s="2352"/>
      <c r="Q787" s="2352"/>
      <c r="R787" s="2352"/>
      <c r="S787" s="2352"/>
      <c r="T787" s="2352"/>
      <c r="U787" s="2352"/>
      <c r="V787" s="2352"/>
      <c r="W787" s="2352"/>
      <c r="X787" s="2352"/>
      <c r="Y787" s="2352"/>
      <c r="Z787" s="2352"/>
      <c r="AA787" s="2352"/>
      <c r="AB787" s="2352"/>
      <c r="AC787" s="2352"/>
      <c r="AD787" s="2352"/>
      <c r="AE787" s="1118"/>
      <c r="AF787" s="1118"/>
      <c r="AG787" s="1118"/>
      <c r="AH787" s="1118"/>
      <c r="AI787" s="1118"/>
      <c r="AJ787" s="1118"/>
      <c r="AK787" s="1118"/>
      <c r="AL787" s="1118"/>
      <c r="AM787" s="454"/>
      <c r="AN787" s="520"/>
      <c r="AO787" s="452"/>
      <c r="AP787" s="398"/>
      <c r="AT787" s="511"/>
      <c r="AU787" s="511"/>
      <c r="AV787" s="511"/>
      <c r="AW787" s="511"/>
      <c r="AX787" s="511"/>
      <c r="AY787" s="511"/>
      <c r="AZ787" s="511"/>
    </row>
    <row r="788" spans="1:81" s="416" customFormat="1" ht="13">
      <c r="A788" s="398"/>
      <c r="B788" s="456"/>
      <c r="C788" s="743"/>
      <c r="D788" s="500"/>
      <c r="E788" s="2352"/>
      <c r="F788" s="2352"/>
      <c r="G788" s="2352"/>
      <c r="H788" s="2352"/>
      <c r="I788" s="2352"/>
      <c r="J788" s="2352"/>
      <c r="K788" s="2352"/>
      <c r="L788" s="2352"/>
      <c r="M788" s="2352"/>
      <c r="N788" s="2352"/>
      <c r="O788" s="2352"/>
      <c r="P788" s="2352"/>
      <c r="Q788" s="2352"/>
      <c r="R788" s="2352"/>
      <c r="S788" s="2352"/>
      <c r="T788" s="2352"/>
      <c r="U788" s="2352"/>
      <c r="V788" s="2352"/>
      <c r="W788" s="2352"/>
      <c r="X788" s="2352"/>
      <c r="Y788" s="2352"/>
      <c r="Z788" s="2352"/>
      <c r="AA788" s="2352"/>
      <c r="AB788" s="2352"/>
      <c r="AC788" s="2352"/>
      <c r="AD788" s="2352"/>
      <c r="AE788" s="1118"/>
      <c r="AF788" s="1118"/>
      <c r="AG788" s="1118"/>
      <c r="AH788" s="1118"/>
      <c r="AI788" s="1118"/>
      <c r="AJ788" s="1118"/>
      <c r="AK788" s="1118"/>
      <c r="AL788" s="1118"/>
      <c r="AM788" s="454"/>
      <c r="AN788" s="520"/>
      <c r="AO788" s="527"/>
      <c r="AT788" s="511"/>
      <c r="AU788" s="511"/>
      <c r="AV788" s="511"/>
      <c r="AW788" s="511"/>
      <c r="AX788" s="511"/>
      <c r="AY788" s="511"/>
      <c r="AZ788" s="511"/>
    </row>
    <row r="789" spans="1:81" s="416" customFormat="1" ht="13">
      <c r="A789" s="398"/>
      <c r="B789" s="456"/>
      <c r="C789" s="743"/>
      <c r="D789" s="500"/>
      <c r="E789" s="1125"/>
      <c r="F789" s="1125"/>
      <c r="G789" s="1125"/>
      <c r="H789" s="1125"/>
      <c r="I789" s="1125"/>
      <c r="J789" s="1125"/>
      <c r="K789" s="1125"/>
      <c r="L789" s="1125"/>
      <c r="M789" s="1125"/>
      <c r="N789" s="1125"/>
      <c r="O789" s="1125"/>
      <c r="P789" s="1125"/>
      <c r="Q789" s="1125"/>
      <c r="R789" s="1125"/>
      <c r="S789" s="1125"/>
      <c r="T789" s="1125"/>
      <c r="U789" s="1125"/>
      <c r="V789" s="1125"/>
      <c r="W789" s="1125"/>
      <c r="X789" s="1125"/>
      <c r="Y789" s="1125"/>
      <c r="Z789" s="1125"/>
      <c r="AA789" s="1125"/>
      <c r="AB789" s="1125"/>
      <c r="AC789" s="1125"/>
      <c r="AD789" s="1125"/>
      <c r="AE789" s="1118"/>
      <c r="AF789" s="1118"/>
      <c r="AG789" s="1118"/>
      <c r="AH789" s="1118"/>
      <c r="AI789" s="1118"/>
      <c r="AJ789" s="1118"/>
      <c r="AK789" s="1118"/>
      <c r="AL789" s="1118"/>
      <c r="AM789" s="454"/>
      <c r="AN789" s="520"/>
      <c r="AO789" s="527"/>
      <c r="AT789" s="511"/>
      <c r="AU789" s="511"/>
      <c r="AV789" s="511"/>
      <c r="AW789" s="511"/>
      <c r="AX789" s="511"/>
      <c r="AY789" s="511"/>
      <c r="AZ789" s="511"/>
    </row>
    <row r="790" spans="1:81" s="416" customFormat="1" ht="13">
      <c r="A790" s="398"/>
      <c r="B790" s="456"/>
      <c r="C790" s="743"/>
      <c r="D790" s="385" t="s">
        <v>2500</v>
      </c>
      <c r="E790" s="1137"/>
      <c r="F790" s="1137"/>
      <c r="G790" s="1137"/>
      <c r="H790" s="2376" t="s">
        <v>800</v>
      </c>
      <c r="I790" s="237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112"/>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ht="13">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2574</v>
      </c>
      <c r="AJ792" s="2359">
        <f>VLOOKUP($H$790,$AO$784:$AP$785,2,FALSE)</f>
        <v>0</v>
      </c>
      <c r="AK792" s="2361"/>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2575</v>
      </c>
      <c r="AK794" s="2359">
        <f>IF(($AJ$621+$AJ$640+$AJ$652+$AJ$687+$AJ$711+$AJ$725+$AJ$737+$AJ$753+$AJ$765+$AJ$781+AJ792)&gt;10,10,($AJ$621+$AJ$640+$AJ$652+$AJ$687+$AJ$711+$AJ$725+$AJ$737+$AJ$753+$AJ$765+$AJ$781+AJ792))</f>
        <v>10</v>
      </c>
      <c r="AL794" s="2360"/>
      <c r="AM794" s="2361"/>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112"/>
      <c r="AJ795" s="1112"/>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443" t="s">
        <v>2576</v>
      </c>
      <c r="B797" s="2444"/>
      <c r="C797" s="2444"/>
      <c r="D797" s="2444"/>
      <c r="E797" s="2444"/>
      <c r="F797" s="2444"/>
      <c r="G797" s="2444"/>
      <c r="H797" s="2444"/>
      <c r="I797" s="2444"/>
      <c r="J797" s="2444"/>
      <c r="K797" s="2444"/>
      <c r="L797" s="2444"/>
      <c r="M797" s="2444"/>
      <c r="N797" s="2444"/>
      <c r="O797" s="2444"/>
      <c r="P797" s="2444"/>
      <c r="Q797" s="2444"/>
      <c r="R797" s="2444"/>
      <c r="S797" s="2444"/>
      <c r="T797" s="2444"/>
      <c r="U797" s="2444"/>
      <c r="V797" s="2444"/>
      <c r="W797" s="2444"/>
      <c r="X797" s="2444"/>
      <c r="Y797" s="2444"/>
      <c r="Z797" s="2444"/>
      <c r="AA797" s="2444"/>
      <c r="AB797" s="2444"/>
      <c r="AC797" s="2444"/>
      <c r="AD797" s="2444"/>
      <c r="AE797" s="2444"/>
      <c r="AF797" s="2444"/>
      <c r="AG797" s="2444"/>
      <c r="AH797" s="2444"/>
      <c r="AI797" s="2444"/>
      <c r="AJ797" s="2444"/>
      <c r="AK797" s="2444"/>
      <c r="AL797" s="2444"/>
      <c r="AM797" s="2444"/>
    </row>
    <row r="798" spans="1:81">
      <c r="A798" s="2445"/>
      <c r="B798" s="2445"/>
      <c r="C798" s="2445"/>
      <c r="D798" s="2445"/>
      <c r="E798" s="2445"/>
      <c r="F798" s="2445"/>
      <c r="G798" s="2445"/>
      <c r="H798" s="2445"/>
      <c r="I798" s="2445"/>
      <c r="J798" s="2445"/>
      <c r="K798" s="2445"/>
      <c r="L798" s="2445"/>
      <c r="M798" s="2445"/>
      <c r="N798" s="2445"/>
      <c r="O798" s="2445"/>
      <c r="P798" s="2445"/>
      <c r="Q798" s="2445"/>
      <c r="R798" s="2445"/>
      <c r="S798" s="2445"/>
      <c r="T798" s="2445"/>
      <c r="U798" s="2445"/>
      <c r="V798" s="2445"/>
      <c r="W798" s="2445"/>
      <c r="X798" s="2445"/>
      <c r="Y798" s="2445"/>
      <c r="Z798" s="2445"/>
      <c r="AA798" s="2445"/>
      <c r="AB798" s="2445"/>
      <c r="AC798" s="2445"/>
      <c r="AD798" s="2445"/>
      <c r="AE798" s="2445"/>
      <c r="AF798" s="2445"/>
      <c r="AG798" s="2445"/>
      <c r="AH798" s="2445"/>
      <c r="AI798" s="2445"/>
      <c r="AJ798" s="2445"/>
      <c r="AK798" s="2445"/>
      <c r="AL798" s="2445"/>
      <c r="AM798" s="2445"/>
      <c r="AO798" s="646"/>
      <c r="AP798" s="646"/>
      <c r="AQ798" s="646"/>
    </row>
    <row r="799" spans="1:81" ht="13">
      <c r="A799" s="398"/>
      <c r="B799" s="417"/>
      <c r="C799" s="418"/>
      <c r="D799" s="418"/>
      <c r="E799" s="418"/>
      <c r="F799" s="418"/>
      <c r="G799" s="418"/>
      <c r="H799" s="418"/>
      <c r="I799" s="1132"/>
      <c r="J799" s="1132"/>
      <c r="K799" s="1132"/>
      <c r="L799" s="1132"/>
      <c r="M799" s="1132"/>
      <c r="N799" s="1132"/>
      <c r="O799" s="1132"/>
      <c r="P799" s="1132"/>
      <c r="Q799" s="1132"/>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ht="13">
      <c r="A800" s="2374"/>
      <c r="B800" s="2374"/>
      <c r="C800" s="2374"/>
      <c r="D800" s="2374"/>
      <c r="E800" s="2374"/>
      <c r="F800" s="2374"/>
      <c r="G800" s="2374"/>
      <c r="H800" s="2374"/>
      <c r="I800" s="2374"/>
      <c r="J800" s="2374"/>
      <c r="K800" s="2374"/>
      <c r="L800" s="2374"/>
      <c r="M800" s="2374"/>
      <c r="N800" s="2374"/>
      <c r="O800" s="2374"/>
      <c r="P800" s="2374"/>
      <c r="Q800" s="2374"/>
      <c r="R800" s="2374"/>
      <c r="S800" s="2374"/>
      <c r="T800" s="2374"/>
      <c r="U800" s="2374"/>
      <c r="V800" s="2374"/>
      <c r="W800" s="2374"/>
      <c r="X800" s="2374"/>
      <c r="Y800" s="2374"/>
      <c r="Z800" s="2374"/>
      <c r="AA800" s="2374"/>
      <c r="AB800" s="2374"/>
      <c r="AC800" s="2374"/>
      <c r="AD800" s="2374"/>
      <c r="AE800" s="2374"/>
      <c r="AF800" s="2374"/>
      <c r="AG800" s="2374"/>
      <c r="AH800" s="2374"/>
      <c r="AI800" s="2374"/>
      <c r="AJ800" s="2374"/>
      <c r="AK800" s="2374"/>
      <c r="AL800" s="2374"/>
      <c r="AM800" s="2374"/>
      <c r="AP800" s="646"/>
      <c r="AQ800" s="646"/>
    </row>
    <row r="801" spans="1:81" ht="13">
      <c r="A801" s="2374"/>
      <c r="B801" s="2374"/>
      <c r="C801" s="2374"/>
      <c r="D801" s="2374"/>
      <c r="E801" s="2374"/>
      <c r="F801" s="2374"/>
      <c r="G801" s="2374"/>
      <c r="H801" s="2374"/>
      <c r="I801" s="2374"/>
      <c r="J801" s="2374"/>
      <c r="K801" s="2374"/>
      <c r="L801" s="2374"/>
      <c r="M801" s="2374"/>
      <c r="N801" s="2374"/>
      <c r="O801" s="2374"/>
      <c r="P801" s="2374"/>
      <c r="Q801" s="2374"/>
      <c r="R801" s="2374"/>
      <c r="S801" s="2374"/>
      <c r="T801" s="2374"/>
      <c r="U801" s="2374"/>
      <c r="V801" s="2374"/>
      <c r="W801" s="2374"/>
      <c r="X801" s="2374"/>
      <c r="Y801" s="2374"/>
      <c r="Z801" s="2374"/>
      <c r="AA801" s="2374"/>
      <c r="AB801" s="2374"/>
      <c r="AC801" s="2374"/>
      <c r="AD801" s="2374"/>
      <c r="AE801" s="2374"/>
      <c r="AF801" s="2374"/>
      <c r="AG801" s="2374"/>
      <c r="AH801" s="2374"/>
      <c r="AI801" s="2374"/>
      <c r="AJ801" s="2374"/>
      <c r="AK801" s="2374"/>
      <c r="AL801" s="2374"/>
      <c r="AM801" s="2374"/>
      <c r="AO801" s="646"/>
      <c r="AQ801" s="646"/>
    </row>
    <row r="802" spans="1:81" ht="13">
      <c r="A802" s="647"/>
      <c r="B802" s="504"/>
      <c r="C802" s="504"/>
      <c r="D802" s="504"/>
      <c r="E802" s="504"/>
      <c r="F802" s="504"/>
      <c r="G802" s="504"/>
      <c r="H802" s="504"/>
      <c r="I802" s="504"/>
      <c r="J802" s="504"/>
      <c r="K802" s="504"/>
      <c r="L802" s="504"/>
      <c r="M802" s="504"/>
      <c r="N802" s="504"/>
      <c r="O802" s="504"/>
      <c r="P802" s="504"/>
      <c r="Q802" s="504"/>
      <c r="R802" s="504"/>
      <c r="S802" s="506"/>
      <c r="T802" s="2446" t="s">
        <v>2577</v>
      </c>
      <c r="U802" s="2447"/>
      <c r="V802" s="2447"/>
      <c r="W802" s="2447"/>
      <c r="X802" s="2447"/>
      <c r="Y802" s="2448"/>
      <c r="Z802" s="2446" t="s">
        <v>2578</v>
      </c>
      <c r="AA802" s="2447"/>
      <c r="AB802" s="2447"/>
      <c r="AC802" s="2447"/>
      <c r="AD802" s="2447"/>
      <c r="AE802" s="2448"/>
      <c r="AF802" s="2446" t="s">
        <v>2579</v>
      </c>
      <c r="AG802" s="2447"/>
      <c r="AH802" s="2447"/>
      <c r="AI802" s="2447"/>
      <c r="AJ802" s="2447"/>
      <c r="AK802" s="2448"/>
      <c r="AL802" s="648"/>
      <c r="AM802" s="438"/>
      <c r="AO802" s="646"/>
      <c r="AP802" s="646"/>
      <c r="AQ802" s="646"/>
    </row>
    <row r="803" spans="1:81" ht="13">
      <c r="A803" s="649"/>
      <c r="B803" s="529"/>
      <c r="C803" s="529"/>
      <c r="D803" s="529"/>
      <c r="E803" s="529"/>
      <c r="F803" s="529"/>
      <c r="G803" s="529"/>
      <c r="H803" s="529"/>
      <c r="I803" s="529"/>
      <c r="J803" s="529"/>
      <c r="K803" s="529"/>
      <c r="L803" s="529"/>
      <c r="M803" s="529"/>
      <c r="N803" s="529"/>
      <c r="O803" s="529"/>
      <c r="P803" s="529"/>
      <c r="Q803" s="529"/>
      <c r="R803" s="529"/>
      <c r="S803" s="543"/>
      <c r="T803" s="2449"/>
      <c r="U803" s="2450"/>
      <c r="V803" s="2450"/>
      <c r="W803" s="2450"/>
      <c r="X803" s="2450"/>
      <c r="Y803" s="2451"/>
      <c r="Z803" s="2449"/>
      <c r="AA803" s="2450"/>
      <c r="AB803" s="2450"/>
      <c r="AC803" s="2450"/>
      <c r="AD803" s="2450"/>
      <c r="AE803" s="2451"/>
      <c r="AF803" s="2449"/>
      <c r="AG803" s="2450"/>
      <c r="AH803" s="2450"/>
      <c r="AI803" s="2450"/>
      <c r="AJ803" s="2450"/>
      <c r="AK803" s="2451"/>
      <c r="AL803" s="648"/>
      <c r="AM803" s="438"/>
      <c r="AO803" s="646"/>
      <c r="AP803" s="646"/>
      <c r="AQ803" s="646"/>
    </row>
    <row r="804" spans="1:81" ht="13">
      <c r="A804" s="649" t="s">
        <v>53</v>
      </c>
      <c r="B804" s="2403" t="s">
        <v>2140</v>
      </c>
      <c r="C804" s="2403"/>
      <c r="D804" s="2403"/>
      <c r="E804" s="2403"/>
      <c r="F804" s="2403"/>
      <c r="G804" s="2403"/>
      <c r="H804" s="2403"/>
      <c r="I804" s="2403"/>
      <c r="J804" s="2403"/>
      <c r="K804" s="2403"/>
      <c r="L804" s="2403"/>
      <c r="M804" s="2403"/>
      <c r="N804" s="2403"/>
      <c r="O804" s="2403"/>
      <c r="P804" s="2403"/>
      <c r="Q804" s="2403"/>
      <c r="R804" s="2403"/>
      <c r="S804" s="2404"/>
      <c r="T804" s="2431">
        <f>AK62</f>
        <v>0</v>
      </c>
      <c r="U804" s="2407"/>
      <c r="V804" s="2407"/>
      <c r="W804" s="2407"/>
      <c r="X804" s="2407"/>
      <c r="Y804" s="2408"/>
      <c r="Z804" s="2406">
        <v>20</v>
      </c>
      <c r="AA804" s="2407"/>
      <c r="AB804" s="2407"/>
      <c r="AC804" s="2407"/>
      <c r="AD804" s="2407"/>
      <c r="AE804" s="2408"/>
      <c r="AF804" s="2371">
        <f>IF(T804&gt;Z804,Z804,T804)</f>
        <v>0</v>
      </c>
      <c r="AG804" s="2371"/>
      <c r="AH804" s="2371"/>
      <c r="AI804" s="2371"/>
      <c r="AJ804" s="2371"/>
      <c r="AK804" s="2371"/>
      <c r="AL804" s="648"/>
      <c r="AM804" s="438"/>
      <c r="AO804" s="646"/>
      <c r="AP804" s="646"/>
      <c r="AQ804" s="646"/>
    </row>
    <row r="805" spans="1:81" ht="13">
      <c r="A805" s="649" t="s">
        <v>2431</v>
      </c>
      <c r="B805" s="2403" t="s">
        <v>619</v>
      </c>
      <c r="C805" s="2403"/>
      <c r="D805" s="2403"/>
      <c r="E805" s="2403"/>
      <c r="F805" s="2403"/>
      <c r="G805" s="2403"/>
      <c r="H805" s="2403"/>
      <c r="I805" s="2403"/>
      <c r="J805" s="2403"/>
      <c r="K805" s="2403"/>
      <c r="L805" s="2403"/>
      <c r="M805" s="2403"/>
      <c r="N805" s="2403"/>
      <c r="O805" s="2403"/>
      <c r="P805" s="2403"/>
      <c r="Q805" s="2403"/>
      <c r="R805" s="2403"/>
      <c r="S805" s="2404"/>
      <c r="T805" s="2431">
        <f>AK84</f>
        <v>10</v>
      </c>
      <c r="U805" s="2407"/>
      <c r="V805" s="2407"/>
      <c r="W805" s="2407"/>
      <c r="X805" s="2407"/>
      <c r="Y805" s="2408"/>
      <c r="Z805" s="2406">
        <v>10</v>
      </c>
      <c r="AA805" s="2407"/>
      <c r="AB805" s="2407"/>
      <c r="AC805" s="2407"/>
      <c r="AD805" s="2407"/>
      <c r="AE805" s="2408"/>
      <c r="AF805" s="2371">
        <f>IF(T805&gt;Z805,Z805,T805)</f>
        <v>10</v>
      </c>
      <c r="AG805" s="2371"/>
      <c r="AH805" s="2371"/>
      <c r="AI805" s="2371"/>
      <c r="AJ805" s="2371"/>
      <c r="AK805" s="2371"/>
      <c r="AL805" s="648"/>
      <c r="AM805" s="438"/>
      <c r="AO805" s="646"/>
      <c r="AP805" s="646"/>
      <c r="AQ805" s="646"/>
    </row>
    <row r="806" spans="1:81" ht="13">
      <c r="A806" s="649" t="s">
        <v>2440</v>
      </c>
      <c r="B806" s="2403" t="s">
        <v>2180</v>
      </c>
      <c r="C806" s="2403"/>
      <c r="D806" s="2403"/>
      <c r="E806" s="2403"/>
      <c r="F806" s="2403"/>
      <c r="G806" s="2403"/>
      <c r="H806" s="2403"/>
      <c r="I806" s="2403"/>
      <c r="J806" s="2403"/>
      <c r="K806" s="2403"/>
      <c r="L806" s="2403"/>
      <c r="M806" s="2403"/>
      <c r="N806" s="2403"/>
      <c r="O806" s="2403"/>
      <c r="P806" s="2403"/>
      <c r="Q806" s="2403"/>
      <c r="R806" s="2403"/>
      <c r="S806" s="2404"/>
      <c r="T806" s="2431">
        <f ca="1">AK109</f>
        <v>20</v>
      </c>
      <c r="U806" s="2407"/>
      <c r="V806" s="2407"/>
      <c r="W806" s="2407"/>
      <c r="X806" s="2407"/>
      <c r="Y806" s="2408"/>
      <c r="Z806" s="2406">
        <v>20</v>
      </c>
      <c r="AA806" s="2407"/>
      <c r="AB806" s="2407"/>
      <c r="AC806" s="2407"/>
      <c r="AD806" s="2407"/>
      <c r="AE806" s="2408"/>
      <c r="AF806" s="2371">
        <f ca="1">IF(T806&gt;Z806,Z806,T806)</f>
        <v>20</v>
      </c>
      <c r="AG806" s="2371"/>
      <c r="AH806" s="2371"/>
      <c r="AI806" s="2371"/>
      <c r="AJ806" s="2371"/>
      <c r="AK806" s="2371"/>
      <c r="AL806" s="648"/>
      <c r="AM806" s="438"/>
      <c r="AO806" s="646"/>
      <c r="AP806" s="646"/>
      <c r="AQ806" s="646"/>
    </row>
    <row r="807" spans="1:81" ht="13">
      <c r="A807" s="649" t="s">
        <v>2580</v>
      </c>
      <c r="B807" s="2403" t="s">
        <v>2191</v>
      </c>
      <c r="C807" s="2403"/>
      <c r="D807" s="2403"/>
      <c r="E807" s="2403"/>
      <c r="F807" s="2403"/>
      <c r="G807" s="2403"/>
      <c r="H807" s="2403"/>
      <c r="I807" s="2403"/>
      <c r="J807" s="2403"/>
      <c r="K807" s="2403"/>
      <c r="L807" s="2403"/>
      <c r="M807" s="2403"/>
      <c r="N807" s="2403"/>
      <c r="O807" s="2403"/>
      <c r="P807" s="2403"/>
      <c r="Q807" s="2403"/>
      <c r="R807" s="2403"/>
      <c r="S807" s="2404"/>
      <c r="T807" s="2431">
        <f>AK143</f>
        <v>10</v>
      </c>
      <c r="U807" s="2407"/>
      <c r="V807" s="2407"/>
      <c r="W807" s="2407"/>
      <c r="X807" s="2407"/>
      <c r="Y807" s="2408"/>
      <c r="Z807" s="2406">
        <v>10</v>
      </c>
      <c r="AA807" s="2407"/>
      <c r="AB807" s="2407"/>
      <c r="AC807" s="2407"/>
      <c r="AD807" s="2407"/>
      <c r="AE807" s="2408"/>
      <c r="AF807" s="2371">
        <f>IF(T807&gt;Z807,Z807,T807)</f>
        <v>10</v>
      </c>
      <c r="AG807" s="2371"/>
      <c r="AH807" s="2371"/>
      <c r="AI807" s="2371"/>
      <c r="AJ807" s="2371"/>
      <c r="AK807" s="2371"/>
      <c r="AL807" s="648"/>
      <c r="AM807" s="438"/>
      <c r="AO807" s="646"/>
      <c r="AP807" s="646"/>
      <c r="AQ807" s="646"/>
    </row>
    <row r="808" spans="1:81" ht="13">
      <c r="A808" s="1142" t="s">
        <v>2581</v>
      </c>
      <c r="B808" s="2403" t="s">
        <v>2582</v>
      </c>
      <c r="C808" s="2403"/>
      <c r="D808" s="2403"/>
      <c r="E808" s="2403"/>
      <c r="F808" s="2403"/>
      <c r="G808" s="2403"/>
      <c r="H808" s="2403"/>
      <c r="I808" s="2403"/>
      <c r="J808" s="2403"/>
      <c r="K808" s="2403"/>
      <c r="L808" s="2403"/>
      <c r="M808" s="2403"/>
      <c r="N808" s="2403"/>
      <c r="O808" s="2403"/>
      <c r="P808" s="2403"/>
      <c r="Q808" s="2403"/>
      <c r="R808" s="2403"/>
      <c r="S808" s="2404"/>
      <c r="T808" s="2405">
        <f>SUM(T809:Y810)</f>
        <v>10</v>
      </c>
      <c r="U808" s="2405"/>
      <c r="V808" s="2405"/>
      <c r="W808" s="2405"/>
      <c r="X808" s="2405"/>
      <c r="Y808" s="2405"/>
      <c r="Z808" s="2371">
        <v>10</v>
      </c>
      <c r="AA808" s="2371"/>
      <c r="AB808" s="2371"/>
      <c r="AC808" s="2371"/>
      <c r="AD808" s="2371"/>
      <c r="AE808" s="2371"/>
      <c r="AF808" s="2371">
        <f>IF(T808&gt;Z808,Z808,T808)</f>
        <v>10</v>
      </c>
      <c r="AG808" s="2371"/>
      <c r="AH808" s="2371"/>
      <c r="AI808" s="2371"/>
      <c r="AJ808" s="2371"/>
      <c r="AK808" s="2371"/>
      <c r="AL808" s="648"/>
      <c r="AM808" s="438"/>
    </row>
    <row r="809" spans="1:81" ht="13">
      <c r="A809" s="384"/>
      <c r="B809" s="443"/>
      <c r="C809" s="2409" t="s">
        <v>2583</v>
      </c>
      <c r="D809" s="2409"/>
      <c r="E809" s="2409"/>
      <c r="F809" s="2409"/>
      <c r="G809" s="2409"/>
      <c r="H809" s="2409"/>
      <c r="I809" s="2409"/>
      <c r="J809" s="2409"/>
      <c r="K809" s="2409"/>
      <c r="L809" s="2409"/>
      <c r="M809" s="2409"/>
      <c r="N809" s="2409"/>
      <c r="O809" s="2409"/>
      <c r="P809" s="2409"/>
      <c r="Q809" s="2409"/>
      <c r="R809" s="2409"/>
      <c r="S809" s="2410"/>
      <c r="T809" s="2411">
        <f>AJ166</f>
        <v>7</v>
      </c>
      <c r="U809" s="2411"/>
      <c r="V809" s="2411"/>
      <c r="W809" s="2411"/>
      <c r="X809" s="2411"/>
      <c r="Y809" s="2411"/>
      <c r="Z809" s="2412">
        <v>7</v>
      </c>
      <c r="AA809" s="2412"/>
      <c r="AB809" s="2412"/>
      <c r="AC809" s="2412"/>
      <c r="AD809" s="2412"/>
      <c r="AE809" s="2412"/>
      <c r="AF809" s="2413"/>
      <c r="AG809" s="2413"/>
      <c r="AH809" s="2413"/>
      <c r="AI809" s="2413"/>
      <c r="AJ809" s="2413"/>
      <c r="AK809" s="2413"/>
      <c r="AL809" s="648"/>
      <c r="AM809" s="438"/>
    </row>
    <row r="810" spans="1:81" ht="13">
      <c r="A810" s="442"/>
      <c r="B810" s="443"/>
      <c r="C810" s="2409" t="s">
        <v>2010</v>
      </c>
      <c r="D810" s="2409"/>
      <c r="E810" s="2409"/>
      <c r="F810" s="2409"/>
      <c r="G810" s="2409"/>
      <c r="H810" s="2409"/>
      <c r="I810" s="2409"/>
      <c r="J810" s="2409"/>
      <c r="K810" s="2409"/>
      <c r="L810" s="2409"/>
      <c r="M810" s="2409"/>
      <c r="N810" s="2409"/>
      <c r="O810" s="2409"/>
      <c r="P810" s="2409"/>
      <c r="Q810" s="2409"/>
      <c r="R810" s="2409"/>
      <c r="S810" s="2410"/>
      <c r="T810" s="2411">
        <f>AJ180</f>
        <v>3</v>
      </c>
      <c r="U810" s="2411"/>
      <c r="V810" s="2411"/>
      <c r="W810" s="2411"/>
      <c r="X810" s="2411"/>
      <c r="Y810" s="2411"/>
      <c r="Z810" s="2412">
        <v>3</v>
      </c>
      <c r="AA810" s="2412"/>
      <c r="AB810" s="2412"/>
      <c r="AC810" s="2412"/>
      <c r="AD810" s="2412"/>
      <c r="AE810" s="2412"/>
      <c r="AF810" s="2413"/>
      <c r="AG810" s="2413"/>
      <c r="AH810" s="2413"/>
      <c r="AI810" s="2413"/>
      <c r="AJ810" s="2413"/>
      <c r="AK810" s="2413"/>
      <c r="AL810" s="648"/>
      <c r="AM810" s="438"/>
      <c r="AO810" s="398"/>
    </row>
    <row r="811" spans="1:81" ht="13">
      <c r="A811" s="1142" t="s">
        <v>2238</v>
      </c>
      <c r="B811" s="2403" t="s">
        <v>2584</v>
      </c>
      <c r="C811" s="2403"/>
      <c r="D811" s="2403"/>
      <c r="E811" s="2403"/>
      <c r="F811" s="2403"/>
      <c r="G811" s="2403"/>
      <c r="H811" s="2403"/>
      <c r="I811" s="2403"/>
      <c r="J811" s="2403"/>
      <c r="K811" s="2403"/>
      <c r="L811" s="2403"/>
      <c r="M811" s="2403"/>
      <c r="N811" s="2403"/>
      <c r="O811" s="2403"/>
      <c r="P811" s="2403"/>
      <c r="Q811" s="2403"/>
      <c r="R811" s="2403"/>
      <c r="S811" s="2404"/>
      <c r="T811" s="2405">
        <f>AK191</f>
        <v>10</v>
      </c>
      <c r="U811" s="2405"/>
      <c r="V811" s="2405"/>
      <c r="W811" s="2405"/>
      <c r="X811" s="2405"/>
      <c r="Y811" s="2405"/>
      <c r="Z811" s="2371">
        <v>10</v>
      </c>
      <c r="AA811" s="2371"/>
      <c r="AB811" s="2371"/>
      <c r="AC811" s="2371"/>
      <c r="AD811" s="2371"/>
      <c r="AE811" s="2371"/>
      <c r="AF811" s="2371">
        <f>IF(T811&gt;Z811,Z811,T811)</f>
        <v>10</v>
      </c>
      <c r="AG811" s="2371"/>
      <c r="AH811" s="2371"/>
      <c r="AI811" s="2371"/>
      <c r="AJ811" s="2371"/>
      <c r="AK811" s="2371"/>
      <c r="AL811" s="648"/>
      <c r="AM811" s="438"/>
    </row>
    <row r="812" spans="1:81" ht="13">
      <c r="A812" s="649" t="s">
        <v>2248</v>
      </c>
      <c r="B812" s="2403" t="s">
        <v>2249</v>
      </c>
      <c r="C812" s="2403"/>
      <c r="D812" s="2403"/>
      <c r="E812" s="2403"/>
      <c r="F812" s="2403"/>
      <c r="G812" s="2403"/>
      <c r="H812" s="2403"/>
      <c r="I812" s="2403"/>
      <c r="J812" s="2403"/>
      <c r="K812" s="2403"/>
      <c r="L812" s="2403"/>
      <c r="M812" s="2403"/>
      <c r="N812" s="2403"/>
      <c r="O812" s="2403"/>
      <c r="P812" s="2403"/>
      <c r="Q812" s="2403"/>
      <c r="R812" s="2403"/>
      <c r="S812" s="2404"/>
      <c r="T812" s="2405">
        <f>AK273</f>
        <v>8</v>
      </c>
      <c r="U812" s="2405"/>
      <c r="V812" s="2405"/>
      <c r="W812" s="2405"/>
      <c r="X812" s="2405"/>
      <c r="Y812" s="2405"/>
      <c r="Z812" s="2406">
        <v>8</v>
      </c>
      <c r="AA812" s="2407"/>
      <c r="AB812" s="2407"/>
      <c r="AC812" s="2407"/>
      <c r="AD812" s="2407"/>
      <c r="AE812" s="2408"/>
      <c r="AF812" s="2371">
        <f>IF(T812&gt;Z812,Z812,T812)</f>
        <v>8</v>
      </c>
      <c r="AG812" s="2371"/>
      <c r="AH812" s="2371"/>
      <c r="AI812" s="2371"/>
      <c r="AJ812" s="2371"/>
      <c r="AK812" s="2371"/>
      <c r="AL812" s="648"/>
      <c r="AM812" s="438"/>
    </row>
    <row r="813" spans="1:81" s="383" customFormat="1" ht="13" hidden="1">
      <c r="A813" s="1142" t="s">
        <v>1010</v>
      </c>
      <c r="B813" s="2403" t="s">
        <v>2585</v>
      </c>
      <c r="C813" s="2403"/>
      <c r="D813" s="2403"/>
      <c r="E813" s="2403"/>
      <c r="F813" s="2403"/>
      <c r="G813" s="2403"/>
      <c r="H813" s="2403"/>
      <c r="I813" s="2403"/>
      <c r="J813" s="2403"/>
      <c r="K813" s="2403"/>
      <c r="L813" s="2403"/>
      <c r="M813" s="2403"/>
      <c r="N813" s="2403"/>
      <c r="O813" s="2403"/>
      <c r="P813" s="2403"/>
      <c r="Q813" s="2403"/>
      <c r="R813" s="2403"/>
      <c r="S813" s="2404"/>
      <c r="T813" s="2405">
        <f>IF(AK535&gt;5,5,AK535)</f>
        <v>0</v>
      </c>
      <c r="U813" s="2405"/>
      <c r="V813" s="2405"/>
      <c r="W813" s="2405"/>
      <c r="X813" s="2405"/>
      <c r="Y813" s="2405"/>
      <c r="Z813" s="2371">
        <v>5</v>
      </c>
      <c r="AA813" s="2371"/>
      <c r="AB813" s="2371"/>
      <c r="AC813" s="2371"/>
      <c r="AD813" s="2371"/>
      <c r="AE813" s="2371"/>
      <c r="AF813" s="2371">
        <f>IF(T813&gt;Z813,5,T813)</f>
        <v>0</v>
      </c>
      <c r="AG813" s="2371"/>
      <c r="AH813" s="2371"/>
      <c r="AI813" s="2371"/>
      <c r="AJ813" s="2371"/>
      <c r="AK813" s="2371"/>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ht="13">
      <c r="A814" s="649" t="s">
        <v>2299</v>
      </c>
      <c r="B814" s="2403" t="s">
        <v>2586</v>
      </c>
      <c r="C814" s="2403"/>
      <c r="D814" s="2403"/>
      <c r="E814" s="2403"/>
      <c r="F814" s="2403"/>
      <c r="G814" s="2403"/>
      <c r="H814" s="2403"/>
      <c r="I814" s="2403"/>
      <c r="J814" s="2403"/>
      <c r="K814" s="2403"/>
      <c r="L814" s="2403"/>
      <c r="M814" s="2403"/>
      <c r="N814" s="2403"/>
      <c r="O814" s="2403"/>
      <c r="P814" s="2403"/>
      <c r="Q814" s="2403"/>
      <c r="R814" s="2403"/>
      <c r="S814" s="2404"/>
      <c r="T814" s="2405">
        <f>AK285</f>
        <v>10</v>
      </c>
      <c r="U814" s="2405"/>
      <c r="V814" s="2405"/>
      <c r="W814" s="2405"/>
      <c r="X814" s="2405"/>
      <c r="Y814" s="2405"/>
      <c r="Z814" s="2371">
        <v>10</v>
      </c>
      <c r="AA814" s="2371"/>
      <c r="AB814" s="2371"/>
      <c r="AC814" s="2371"/>
      <c r="AD814" s="2371"/>
      <c r="AE814" s="2371"/>
      <c r="AF814" s="2414">
        <f>IF(T814&gt;Z814,Z814,T814)</f>
        <v>10</v>
      </c>
      <c r="AG814" s="2415"/>
      <c r="AH814" s="2415"/>
      <c r="AI814" s="2415"/>
      <c r="AJ814" s="2415"/>
      <c r="AK814" s="2416"/>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ht="13">
      <c r="A815" s="1142" t="s">
        <v>2303</v>
      </c>
      <c r="B815" s="2403" t="s">
        <v>2587</v>
      </c>
      <c r="C815" s="2403"/>
      <c r="D815" s="2403"/>
      <c r="E815" s="2403"/>
      <c r="F815" s="2403"/>
      <c r="G815" s="2403"/>
      <c r="H815" s="2403"/>
      <c r="I815" s="2403"/>
      <c r="J815" s="2403"/>
      <c r="K815" s="2403"/>
      <c r="L815" s="2403"/>
      <c r="M815" s="2403"/>
      <c r="N815" s="2403"/>
      <c r="O815" s="2403"/>
      <c r="P815" s="2403"/>
      <c r="Q815" s="2403"/>
      <c r="R815" s="2403"/>
      <c r="S815" s="2404"/>
      <c r="T815" s="2405">
        <f>AK338</f>
        <v>9</v>
      </c>
      <c r="U815" s="2405"/>
      <c r="V815" s="2405"/>
      <c r="W815" s="2405"/>
      <c r="X815" s="2405"/>
      <c r="Y815" s="2405"/>
      <c r="Z815" s="2414">
        <v>10</v>
      </c>
      <c r="AA815" s="2415"/>
      <c r="AB815" s="2415"/>
      <c r="AC815" s="2415"/>
      <c r="AD815" s="2415"/>
      <c r="AE815" s="2416"/>
      <c r="AF815" s="2414">
        <f>IF(T815&gt;Z815,Z815,T815)</f>
        <v>9</v>
      </c>
      <c r="AG815" s="2415"/>
      <c r="AH815" s="2415"/>
      <c r="AI815" s="2415"/>
      <c r="AJ815" s="2415"/>
      <c r="AK815" s="2416"/>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t="13" hidden="1">
      <c r="A816" s="1142"/>
      <c r="B816" s="1140"/>
      <c r="C816" s="650" t="s">
        <v>2588</v>
      </c>
      <c r="D816" s="651"/>
      <c r="E816" s="651"/>
      <c r="F816" s="651"/>
      <c r="G816" s="651"/>
      <c r="H816" s="651"/>
      <c r="I816" s="651"/>
      <c r="J816" s="651"/>
      <c r="K816" s="651"/>
      <c r="L816" s="651"/>
      <c r="M816" s="651"/>
      <c r="N816" s="651"/>
      <c r="O816" s="651"/>
      <c r="P816" s="651"/>
      <c r="Q816" s="651"/>
      <c r="R816" s="1140"/>
      <c r="S816" s="1141"/>
      <c r="T816" s="2411">
        <f>AK338</f>
        <v>9</v>
      </c>
      <c r="U816" s="2411"/>
      <c r="V816" s="2411"/>
      <c r="W816" s="2411"/>
      <c r="X816" s="2411"/>
      <c r="Y816" s="2411"/>
      <c r="Z816" s="2359">
        <v>20</v>
      </c>
      <c r="AA816" s="2360"/>
      <c r="AB816" s="2360"/>
      <c r="AC816" s="2360"/>
      <c r="AD816" s="2360"/>
      <c r="AE816" s="2361"/>
      <c r="AF816" s="2413"/>
      <c r="AG816" s="2413"/>
      <c r="AH816" s="2413"/>
      <c r="AI816" s="2413"/>
      <c r="AJ816" s="2413"/>
      <c r="AK816" s="2413"/>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ht="13">
      <c r="A817" s="1142" t="s">
        <v>2333</v>
      </c>
      <c r="B817" s="2403" t="s">
        <v>2334</v>
      </c>
      <c r="C817" s="2403"/>
      <c r="D817" s="2403"/>
      <c r="E817" s="2403"/>
      <c r="F817" s="2403"/>
      <c r="G817" s="2403"/>
      <c r="H817" s="2403"/>
      <c r="I817" s="2403"/>
      <c r="J817" s="2403"/>
      <c r="K817" s="2403"/>
      <c r="L817" s="2403"/>
      <c r="M817" s="2403"/>
      <c r="N817" s="2403"/>
      <c r="O817" s="2403"/>
      <c r="P817" s="2403"/>
      <c r="Q817" s="2403"/>
      <c r="R817" s="2403"/>
      <c r="S817" s="2404"/>
      <c r="T817" s="2405">
        <f>AK469</f>
        <v>10</v>
      </c>
      <c r="U817" s="2405"/>
      <c r="V817" s="2405"/>
      <c r="W817" s="2405"/>
      <c r="X817" s="2405"/>
      <c r="Y817" s="2405"/>
      <c r="Z817" s="2414">
        <v>10</v>
      </c>
      <c r="AA817" s="2415"/>
      <c r="AB817" s="2415"/>
      <c r="AC817" s="2415"/>
      <c r="AD817" s="2415"/>
      <c r="AE817" s="2416"/>
      <c r="AF817" s="2371">
        <f>IF(T817&gt;Z817,Z817,T817)</f>
        <v>10</v>
      </c>
      <c r="AG817" s="2371"/>
      <c r="AH817" s="2371"/>
      <c r="AI817" s="2371"/>
      <c r="AJ817" s="2371"/>
      <c r="AK817" s="2371"/>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ht="13">
      <c r="A818" s="1142" t="s">
        <v>2450</v>
      </c>
      <c r="B818" s="2403" t="s">
        <v>2451</v>
      </c>
      <c r="C818" s="2403"/>
      <c r="D818" s="2403"/>
      <c r="E818" s="2403"/>
      <c r="F818" s="2403"/>
      <c r="G818" s="2403"/>
      <c r="H818" s="2403"/>
      <c r="I818" s="2403"/>
      <c r="J818" s="2403"/>
      <c r="K818" s="2403"/>
      <c r="L818" s="2403"/>
      <c r="M818" s="2403"/>
      <c r="N818" s="2403"/>
      <c r="O818" s="2403"/>
      <c r="P818" s="2403"/>
      <c r="Q818" s="2403"/>
      <c r="R818" s="2403"/>
      <c r="S818" s="2404"/>
      <c r="T818" s="2405">
        <f>AK559</f>
        <v>12</v>
      </c>
      <c r="U818" s="2405"/>
      <c r="V818" s="2405"/>
      <c r="W818" s="2405"/>
      <c r="X818" s="2405"/>
      <c r="Y818" s="2405"/>
      <c r="Z818" s="2414">
        <v>12</v>
      </c>
      <c r="AA818" s="2415"/>
      <c r="AB818" s="2415"/>
      <c r="AC818" s="2415"/>
      <c r="AD818" s="2415"/>
      <c r="AE818" s="2416"/>
      <c r="AF818" s="2371">
        <f>IF(T818&gt;Z818,Z818,T818)</f>
        <v>12</v>
      </c>
      <c r="AG818" s="2371"/>
      <c r="AH818" s="2371"/>
      <c r="AI818" s="2371"/>
      <c r="AJ818" s="2371"/>
      <c r="AK818" s="2371"/>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ht="13">
      <c r="A819" s="1142" t="s">
        <v>2589</v>
      </c>
      <c r="B819" s="2403" t="s">
        <v>2590</v>
      </c>
      <c r="C819" s="2403"/>
      <c r="D819" s="2403"/>
      <c r="E819" s="2403"/>
      <c r="F819" s="2403"/>
      <c r="G819" s="2403"/>
      <c r="H819" s="2403"/>
      <c r="I819" s="2403"/>
      <c r="J819" s="2403"/>
      <c r="K819" s="2403"/>
      <c r="L819" s="2403"/>
      <c r="M819" s="2403"/>
      <c r="N819" s="2403"/>
      <c r="O819" s="2403"/>
      <c r="P819" s="2403"/>
      <c r="Q819" s="2403"/>
      <c r="R819" s="2403"/>
      <c r="S819" s="2404"/>
      <c r="T819" s="2405">
        <f>AK794</f>
        <v>10</v>
      </c>
      <c r="U819" s="2405"/>
      <c r="V819" s="2405"/>
      <c r="W819" s="2405"/>
      <c r="X819" s="2405"/>
      <c r="Y819" s="2405"/>
      <c r="Z819" s="2414">
        <v>10</v>
      </c>
      <c r="AA819" s="2415"/>
      <c r="AB819" s="2415"/>
      <c r="AC819" s="2415"/>
      <c r="AD819" s="2415"/>
      <c r="AE819" s="2416"/>
      <c r="AF819" s="2371">
        <f>IF(T819&gt;Z819,Z819,T819)</f>
        <v>10</v>
      </c>
      <c r="AG819" s="2371"/>
      <c r="AH819" s="2371"/>
      <c r="AI819" s="2371"/>
      <c r="AJ819" s="2371"/>
      <c r="AK819" s="2371"/>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ht="13">
      <c r="A820" s="2417" t="s">
        <v>2591</v>
      </c>
      <c r="B820" s="2403"/>
      <c r="C820" s="2403"/>
      <c r="D820" s="2403"/>
      <c r="E820" s="2403"/>
      <c r="F820" s="2403"/>
      <c r="G820" s="2403"/>
      <c r="H820" s="2403"/>
      <c r="I820" s="2403"/>
      <c r="J820" s="2403"/>
      <c r="K820" s="2403"/>
      <c r="L820" s="2403"/>
      <c r="M820" s="2403"/>
      <c r="N820" s="2403"/>
      <c r="O820" s="2403"/>
      <c r="P820" s="2403"/>
      <c r="Q820" s="2403"/>
      <c r="R820" s="2403"/>
      <c r="S820" s="2404"/>
      <c r="T820" s="2418"/>
      <c r="U820" s="2418"/>
      <c r="V820" s="2418"/>
      <c r="W820" s="2418"/>
      <c r="X820" s="2418"/>
      <c r="Y820" s="2418"/>
      <c r="Z820" s="2412" t="s">
        <v>2592</v>
      </c>
      <c r="AA820" s="2412"/>
      <c r="AB820" s="2412"/>
      <c r="AC820" s="2412"/>
      <c r="AD820" s="2412"/>
      <c r="AE820" s="2412"/>
      <c r="AF820" s="2414">
        <f>IF(T820&gt;0,T820,0)</f>
        <v>0</v>
      </c>
      <c r="AG820" s="2415"/>
      <c r="AH820" s="2415"/>
      <c r="AI820" s="2415"/>
      <c r="AJ820" s="2415"/>
      <c r="AK820" s="2416"/>
      <c r="AL820" s="1129"/>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5">
      <c r="A821" s="2419" t="s">
        <v>2593</v>
      </c>
      <c r="B821" s="2420"/>
      <c r="C821" s="2420"/>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1"/>
      <c r="AF821" s="2425">
        <f ca="1">SUM(AF804:AK819)-AF820</f>
        <v>119</v>
      </c>
      <c r="AG821" s="2426"/>
      <c r="AH821" s="2426"/>
      <c r="AI821" s="2426"/>
      <c r="AJ821" s="2426"/>
      <c r="AK821" s="2427"/>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5">
      <c r="A822" s="2422"/>
      <c r="B822" s="2423"/>
      <c r="C822" s="2423"/>
      <c r="D822" s="2423"/>
      <c r="E822" s="2423"/>
      <c r="F822" s="2423"/>
      <c r="G822" s="2423"/>
      <c r="H822" s="2423"/>
      <c r="I822" s="2423"/>
      <c r="J822" s="2423"/>
      <c r="K822" s="2423"/>
      <c r="L822" s="2423"/>
      <c r="M822" s="2423"/>
      <c r="N822" s="2423"/>
      <c r="O822" s="2423"/>
      <c r="P822" s="2423"/>
      <c r="Q822" s="2423"/>
      <c r="R822" s="2423"/>
      <c r="S822" s="2423"/>
      <c r="T822" s="2423"/>
      <c r="U822" s="2423"/>
      <c r="V822" s="2423"/>
      <c r="W822" s="2423"/>
      <c r="X822" s="2423"/>
      <c r="Y822" s="2423"/>
      <c r="Z822" s="2423"/>
      <c r="AA822" s="2423"/>
      <c r="AB822" s="2423"/>
      <c r="AC822" s="2423"/>
      <c r="AD822" s="2423"/>
      <c r="AE822" s="2424"/>
      <c r="AF822" s="2428"/>
      <c r="AG822" s="2429"/>
      <c r="AH822" s="2429"/>
      <c r="AI822" s="2429"/>
      <c r="AJ822" s="2429"/>
      <c r="AK822" s="2430"/>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fQ+DGM9CufDKH8YrVGCSlS95Q+EZfG6CuaK9byIoc465cOLcO36YZ0iJbrZGD7LcJi0rmc5cjlh+QFVcpv5XVQ==" saltValue="38S9wpAGNMq+J77RS94IJ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3eb815f0c7698fb463ff9374beef776a">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c864fecaeee97a874aa4bfda69ccd60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3b4bef9-442f-4a63-99dd-bbc3e7e4f29a}"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8F5FE173-D81C-432E-A1EE-4623A6CB3D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33AB0D-816B-4D70-A02E-4751C76CBBA1}">
  <ds:schemaRefs>
    <ds:schemaRef ds:uri="http://schemas.microsoft.com/sharepoint/v3/contenttype/forms"/>
  </ds:schemaRefs>
</ds:datastoreItem>
</file>

<file path=customXml/itemProps3.xml><?xml version="1.0" encoding="utf-8"?>
<ds:datastoreItem xmlns:ds="http://schemas.openxmlformats.org/officeDocument/2006/customXml" ds:itemID="{E8548F4D-6E14-43C1-B86A-739D9AEBD0DA}">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Medina, Brandon</cp:lastModifiedBy>
  <cp:revision/>
  <dcterms:created xsi:type="dcterms:W3CDTF">2007-12-27T18:26:28Z</dcterms:created>
  <dcterms:modified xsi:type="dcterms:W3CDTF">2025-02-03T16:24:44Z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